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34268840\Desktop\TARIFAS 2026\A. EDUCACIONAL\PLANILLAS 2026 EDUBIEN\"/>
    </mc:Choice>
  </mc:AlternateContent>
  <xr:revisionPtr revIDLastSave="0" documentId="13_ncr:40009_{E3F3FF90-EA06-4203-96B7-6A437BD7A09E}" xr6:coauthVersionLast="47" xr6:coauthVersionMax="47" xr10:uidLastSave="{00000000-0000-0000-0000-000000000000}"/>
  <bookViews>
    <workbookView xWindow="-120" yWindow="-120" windowWidth="29040" windowHeight="15720" tabRatio="929" activeTab="2"/>
  </bookViews>
  <sheets>
    <sheet name="Instrucciones" sheetId="19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Proyección Mensual." sheetId="15" r:id="rId11"/>
  </sheets>
  <externalReferences>
    <externalReference r:id="rId12"/>
  </externalReferences>
  <definedNames>
    <definedName name="__xlnm_Print_Area">'A) Resumen Ingresos y Egresos'!$A$1:$N$28</definedName>
    <definedName name="__xlnm_Print_Area_1">'C) Costos Directos'!$A$1:$H$11</definedName>
    <definedName name="__xlnm_Print_Area_2">'E) Resumen Tarifado '!$A$4:$G$11</definedName>
    <definedName name="__xlnm_Print_Titles">'A) Resumen Ingresos y Egresos'!$1:$21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Directos'!$A$1:$H$11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Directos'!$A$1:$H$11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Egresos'!$1:$21</definedName>
    <definedName name="_xlnm.Print_Titles" localSheetId="4">'C) Costos Directos'!$1:$11</definedName>
  </definedNames>
  <calcPr calcId="181029" fullCalcOnLoad="1"/>
</workbook>
</file>

<file path=xl/calcChain.xml><?xml version="1.0" encoding="utf-8"?>
<calcChain xmlns="http://schemas.openxmlformats.org/spreadsheetml/2006/main">
  <c r="C39" i="9" l="1"/>
  <c r="C40" i="9"/>
  <c r="C41" i="9"/>
  <c r="C42" i="9"/>
  <c r="C43" i="9"/>
  <c r="C44" i="9"/>
  <c r="C45" i="9"/>
  <c r="C46" i="9"/>
  <c r="C47" i="9"/>
  <c r="D47" i="9"/>
  <c r="C48" i="9"/>
  <c r="C49" i="9"/>
  <c r="D49" i="9"/>
  <c r="C38" i="9"/>
  <c r="D38" i="9"/>
  <c r="I47" i="12"/>
  <c r="H47" i="12"/>
  <c r="I46" i="12"/>
  <c r="H46" i="12"/>
  <c r="J46" i="12"/>
  <c r="K46" i="12"/>
  <c r="I34" i="12"/>
  <c r="H34" i="12"/>
  <c r="J34" i="12"/>
  <c r="K34" i="12"/>
  <c r="I33" i="12"/>
  <c r="H33" i="12"/>
  <c r="I32" i="12"/>
  <c r="H32" i="12"/>
  <c r="J32" i="12"/>
  <c r="K32" i="12"/>
  <c r="M94" i="3"/>
  <c r="E29" i="3"/>
  <c r="D26" i="3"/>
  <c r="E60" i="3"/>
  <c r="E25" i="3"/>
  <c r="I30" i="12"/>
  <c r="H30" i="12"/>
  <c r="I19" i="12"/>
  <c r="H19" i="12"/>
  <c r="I29" i="12"/>
  <c r="H29" i="12"/>
  <c r="I45" i="12"/>
  <c r="H45" i="12"/>
  <c r="I44" i="12"/>
  <c r="H44" i="12"/>
  <c r="E30" i="3"/>
  <c r="D28" i="3"/>
  <c r="C62" i="9"/>
  <c r="D62" i="9"/>
  <c r="C63" i="9"/>
  <c r="C64" i="9"/>
  <c r="D64" i="9"/>
  <c r="C65" i="9"/>
  <c r="C66" i="9"/>
  <c r="D66" i="9"/>
  <c r="C67" i="9"/>
  <c r="C68" i="9"/>
  <c r="D68" i="9"/>
  <c r="C69" i="9"/>
  <c r="C70" i="9"/>
  <c r="C71" i="9"/>
  <c r="D71" i="9"/>
  <c r="C72" i="9"/>
  <c r="D72" i="9"/>
  <c r="C61" i="9"/>
  <c r="D61" i="9"/>
  <c r="D39" i="9"/>
  <c r="M12" i="9"/>
  <c r="M13" i="9"/>
  <c r="C11" i="9"/>
  <c r="E11" i="9"/>
  <c r="G11" i="9"/>
  <c r="I11" i="9"/>
  <c r="J11" i="9"/>
  <c r="L11" i="9"/>
  <c r="C28" i="9"/>
  <c r="B20" i="9"/>
  <c r="B74" i="9"/>
  <c r="B73" i="9"/>
  <c r="D69" i="9"/>
  <c r="D67" i="9"/>
  <c r="D65" i="9"/>
  <c r="D63" i="9"/>
  <c r="G52" i="9"/>
  <c r="B52" i="9"/>
  <c r="G51" i="9"/>
  <c r="G53" i="9"/>
  <c r="I49" i="9"/>
  <c r="I48" i="9"/>
  <c r="D48" i="9"/>
  <c r="I47" i="9"/>
  <c r="I46" i="9"/>
  <c r="D46" i="9"/>
  <c r="I45" i="9"/>
  <c r="D45" i="9"/>
  <c r="I44" i="9"/>
  <c r="D44" i="9"/>
  <c r="I43" i="9"/>
  <c r="D43" i="9"/>
  <c r="I42" i="9"/>
  <c r="D42" i="9"/>
  <c r="I41" i="9"/>
  <c r="D41" i="9"/>
  <c r="I40" i="9"/>
  <c r="D40" i="9"/>
  <c r="I39" i="9"/>
  <c r="B51" i="9"/>
  <c r="I38" i="9"/>
  <c r="D28" i="9"/>
  <c r="B28" i="9"/>
  <c r="D22" i="9"/>
  <c r="C22" i="9"/>
  <c r="B22" i="9"/>
  <c r="H20" i="9"/>
  <c r="G20" i="9"/>
  <c r="B21" i="9"/>
  <c r="B23" i="9"/>
  <c r="E13" i="9"/>
  <c r="G13" i="9"/>
  <c r="I13" i="9"/>
  <c r="J13" i="9"/>
  <c r="L13" i="9"/>
  <c r="E12" i="9"/>
  <c r="G12" i="9"/>
  <c r="I12" i="9"/>
  <c r="J12" i="9"/>
  <c r="L12" i="9"/>
  <c r="M11" i="9"/>
  <c r="J4" i="9"/>
  <c r="M97" i="3"/>
  <c r="M86" i="3"/>
  <c r="M93" i="3"/>
  <c r="M109" i="3"/>
  <c r="M106" i="3"/>
  <c r="M128" i="3"/>
  <c r="B50" i="9"/>
  <c r="D70" i="9"/>
  <c r="B75" i="9"/>
  <c r="W79" i="13"/>
  <c r="G23" i="13"/>
  <c r="G22" i="13"/>
  <c r="I13" i="12"/>
  <c r="I31" i="12"/>
  <c r="I12" i="12"/>
  <c r="I11" i="12"/>
  <c r="H13" i="12"/>
  <c r="H11" i="12"/>
  <c r="J11" i="12"/>
  <c r="K11" i="12"/>
  <c r="H31" i="12"/>
  <c r="J31" i="12"/>
  <c r="K31" i="12"/>
  <c r="H12" i="12"/>
  <c r="J30" i="12"/>
  <c r="K30" i="12"/>
  <c r="J33" i="12"/>
  <c r="K33" i="12"/>
  <c r="J35" i="12"/>
  <c r="K35" i="12"/>
  <c r="J36" i="12"/>
  <c r="K36" i="12"/>
  <c r="J37" i="12"/>
  <c r="K37" i="12"/>
  <c r="J38" i="12"/>
  <c r="K38" i="12"/>
  <c r="J39" i="12"/>
  <c r="K39" i="12"/>
  <c r="J40" i="12"/>
  <c r="K40" i="12"/>
  <c r="J41" i="12"/>
  <c r="K41" i="12"/>
  <c r="J42" i="12"/>
  <c r="K42" i="12"/>
  <c r="J43" i="12"/>
  <c r="K43" i="12"/>
  <c r="J44" i="12"/>
  <c r="K44" i="12"/>
  <c r="J45" i="12"/>
  <c r="K45" i="12"/>
  <c r="J47" i="12"/>
  <c r="K47" i="12"/>
  <c r="J48" i="12"/>
  <c r="K48" i="12"/>
  <c r="J49" i="12"/>
  <c r="K49" i="12"/>
  <c r="J50" i="12"/>
  <c r="J51" i="12"/>
  <c r="K51" i="12"/>
  <c r="J52" i="12"/>
  <c r="K52" i="12"/>
  <c r="J53" i="12"/>
  <c r="K53" i="12"/>
  <c r="J54" i="12"/>
  <c r="K54" i="12"/>
  <c r="J55" i="12"/>
  <c r="K55" i="12"/>
  <c r="J56" i="12"/>
  <c r="J57" i="12"/>
  <c r="K57" i="12"/>
  <c r="J58" i="12"/>
  <c r="K58" i="12"/>
  <c r="K56" i="12"/>
  <c r="J13" i="12"/>
  <c r="K13" i="12"/>
  <c r="J14" i="12"/>
  <c r="J15" i="12"/>
  <c r="K15" i="12"/>
  <c r="J16" i="12"/>
  <c r="K16" i="12"/>
  <c r="J17" i="12"/>
  <c r="K17" i="12"/>
  <c r="J18" i="12"/>
  <c r="K18" i="12"/>
  <c r="J19" i="12"/>
  <c r="K19" i="12"/>
  <c r="J20" i="12"/>
  <c r="K20" i="12"/>
  <c r="J21" i="12"/>
  <c r="K21" i="12"/>
  <c r="J22" i="12"/>
  <c r="K22" i="12"/>
  <c r="J23" i="12"/>
  <c r="K23" i="12"/>
  <c r="J24" i="12"/>
  <c r="K24" i="12"/>
  <c r="J25" i="12"/>
  <c r="K25" i="12"/>
  <c r="J26" i="12"/>
  <c r="K26" i="12"/>
  <c r="K50" i="12"/>
  <c r="L44" i="12"/>
  <c r="I43" i="15"/>
  <c r="J29" i="12"/>
  <c r="K29" i="12"/>
  <c r="J12" i="12"/>
  <c r="K12" i="12"/>
  <c r="K14" i="12"/>
  <c r="C39" i="15"/>
  <c r="D39" i="15"/>
  <c r="E39" i="15"/>
  <c r="F39" i="15"/>
  <c r="G39" i="15"/>
  <c r="H39" i="15"/>
  <c r="I39" i="15"/>
  <c r="J39" i="15"/>
  <c r="K39" i="15"/>
  <c r="L39" i="15"/>
  <c r="M39" i="15"/>
  <c r="B39" i="15"/>
  <c r="C28" i="15"/>
  <c r="D28" i="15"/>
  <c r="E28" i="15"/>
  <c r="F28" i="15"/>
  <c r="G28" i="15"/>
  <c r="H28" i="15"/>
  <c r="I28" i="15"/>
  <c r="J28" i="15"/>
  <c r="K28" i="15"/>
  <c r="L28" i="15"/>
  <c r="M28" i="15"/>
  <c r="B28" i="15"/>
  <c r="C17" i="15"/>
  <c r="D17" i="15"/>
  <c r="E17" i="15"/>
  <c r="F17" i="15"/>
  <c r="G17" i="15"/>
  <c r="H17" i="15"/>
  <c r="I17" i="15"/>
  <c r="J17" i="15"/>
  <c r="K17" i="15"/>
  <c r="L17" i="15"/>
  <c r="M17" i="15"/>
  <c r="B17" i="15"/>
  <c r="P32" i="2"/>
  <c r="P34" i="2"/>
  <c r="P29" i="2"/>
  <c r="P31" i="2"/>
  <c r="C6" i="15"/>
  <c r="D6" i="15"/>
  <c r="E6" i="15"/>
  <c r="F6" i="15"/>
  <c r="G6" i="15"/>
  <c r="H6" i="15"/>
  <c r="I6" i="15"/>
  <c r="J6" i="15"/>
  <c r="K6" i="15"/>
  <c r="L6" i="15"/>
  <c r="M6" i="15"/>
  <c r="B6" i="15"/>
  <c r="I16" i="5"/>
  <c r="J16" i="5"/>
  <c r="K16" i="5"/>
  <c r="L16" i="5"/>
  <c r="H12" i="5"/>
  <c r="I12" i="5"/>
  <c r="J12" i="5"/>
  <c r="K12" i="5"/>
  <c r="L12" i="5"/>
  <c r="H13" i="5"/>
  <c r="I13" i="5"/>
  <c r="J13" i="5"/>
  <c r="K13" i="5"/>
  <c r="L13" i="5"/>
  <c r="I11" i="5"/>
  <c r="J11" i="5"/>
  <c r="K11" i="5"/>
  <c r="L11" i="5"/>
  <c r="Q19" i="1"/>
  <c r="B19" i="1"/>
  <c r="Q18" i="1"/>
  <c r="B18" i="1"/>
  <c r="A18" i="1"/>
  <c r="H15" i="5"/>
  <c r="H16" i="5"/>
  <c r="I14" i="5"/>
  <c r="J14" i="5"/>
  <c r="K14" i="5"/>
  <c r="L14" i="5"/>
  <c r="H11" i="5"/>
  <c r="N124" i="3"/>
  <c r="O124" i="3"/>
  <c r="P124" i="3"/>
  <c r="D133" i="3"/>
  <c r="N125" i="3"/>
  <c r="D200" i="3"/>
  <c r="O125" i="3"/>
  <c r="P125" i="3"/>
  <c r="N126" i="3"/>
  <c r="D201" i="3"/>
  <c r="O126" i="3"/>
  <c r="D267" i="3"/>
  <c r="P126" i="3"/>
  <c r="D135" i="3"/>
  <c r="N127" i="3"/>
  <c r="D202" i="3"/>
  <c r="O127" i="3"/>
  <c r="D268" i="3"/>
  <c r="P127" i="3"/>
  <c r="N128" i="3"/>
  <c r="D203" i="3"/>
  <c r="O128" i="3"/>
  <c r="D269" i="3"/>
  <c r="P128" i="3"/>
  <c r="D137" i="3"/>
  <c r="N129" i="3"/>
  <c r="D204" i="3"/>
  <c r="O129" i="3"/>
  <c r="P129" i="3"/>
  <c r="D138" i="3"/>
  <c r="N116" i="3"/>
  <c r="D190" i="3"/>
  <c r="O116" i="3"/>
  <c r="D256" i="3"/>
  <c r="P116" i="3"/>
  <c r="D124" i="3"/>
  <c r="N117" i="3"/>
  <c r="D191" i="3"/>
  <c r="O117" i="3"/>
  <c r="P117" i="3"/>
  <c r="D125" i="3"/>
  <c r="N118" i="3"/>
  <c r="D192" i="3"/>
  <c r="O118" i="3"/>
  <c r="D258" i="3"/>
  <c r="P118" i="3"/>
  <c r="D126" i="3"/>
  <c r="N119" i="3"/>
  <c r="D194" i="3"/>
  <c r="O119" i="3"/>
  <c r="D260" i="3"/>
  <c r="P119" i="3"/>
  <c r="D128" i="3"/>
  <c r="N120" i="3"/>
  <c r="O120" i="3"/>
  <c r="D261" i="3"/>
  <c r="P120" i="3"/>
  <c r="D129" i="3"/>
  <c r="N121" i="3"/>
  <c r="D196" i="3"/>
  <c r="O121" i="3"/>
  <c r="D262" i="3"/>
  <c r="P121" i="3"/>
  <c r="D130" i="3"/>
  <c r="N107" i="3"/>
  <c r="D181" i="3"/>
  <c r="O107" i="3"/>
  <c r="D247" i="3"/>
  <c r="P107" i="3"/>
  <c r="D115" i="3"/>
  <c r="N108" i="3"/>
  <c r="D182" i="3"/>
  <c r="O108" i="3"/>
  <c r="D248" i="3"/>
  <c r="P108" i="3"/>
  <c r="N109" i="3"/>
  <c r="D183" i="3"/>
  <c r="O109" i="3"/>
  <c r="D249" i="3"/>
  <c r="P109" i="3"/>
  <c r="D117" i="3"/>
  <c r="N110" i="3"/>
  <c r="D184" i="3"/>
  <c r="O110" i="3"/>
  <c r="D250" i="3"/>
  <c r="P110" i="3"/>
  <c r="D118" i="3"/>
  <c r="N111" i="3"/>
  <c r="D185" i="3"/>
  <c r="O111" i="3"/>
  <c r="D251" i="3"/>
  <c r="P111" i="3"/>
  <c r="N112" i="3"/>
  <c r="D186" i="3"/>
  <c r="O112" i="3"/>
  <c r="D252" i="3"/>
  <c r="P112" i="3"/>
  <c r="N113" i="3"/>
  <c r="D187" i="3"/>
  <c r="O113" i="3"/>
  <c r="D253" i="3"/>
  <c r="P113" i="3"/>
  <c r="D121" i="3"/>
  <c r="O104" i="3"/>
  <c r="D244" i="3"/>
  <c r="N83" i="3"/>
  <c r="D155" i="3"/>
  <c r="N84" i="3"/>
  <c r="D156" i="3"/>
  <c r="N85" i="3"/>
  <c r="N86" i="3"/>
  <c r="D158" i="3"/>
  <c r="N87" i="3"/>
  <c r="D159" i="3"/>
  <c r="N88" i="3"/>
  <c r="D160" i="3"/>
  <c r="N89" i="3"/>
  <c r="D161" i="3"/>
  <c r="N90" i="3"/>
  <c r="N91" i="3"/>
  <c r="D163" i="3"/>
  <c r="N92" i="3"/>
  <c r="D164" i="3"/>
  <c r="N93" i="3"/>
  <c r="N94" i="3"/>
  <c r="D166" i="3"/>
  <c r="N95" i="3"/>
  <c r="D167" i="3"/>
  <c r="N96" i="3"/>
  <c r="D168" i="3"/>
  <c r="N97" i="3"/>
  <c r="N98" i="3"/>
  <c r="O83" i="3"/>
  <c r="O84" i="3"/>
  <c r="D222" i="3"/>
  <c r="O85" i="3"/>
  <c r="D223" i="3"/>
  <c r="O86" i="3"/>
  <c r="D224" i="3"/>
  <c r="O87" i="3"/>
  <c r="D225" i="3"/>
  <c r="O88" i="3"/>
  <c r="D226" i="3"/>
  <c r="O89" i="3"/>
  <c r="D227" i="3"/>
  <c r="O90" i="3"/>
  <c r="D228" i="3"/>
  <c r="O91" i="3"/>
  <c r="D229" i="3"/>
  <c r="O92" i="3"/>
  <c r="D230" i="3"/>
  <c r="O93" i="3"/>
  <c r="D231" i="3"/>
  <c r="O94" i="3"/>
  <c r="D232" i="3"/>
  <c r="O95" i="3"/>
  <c r="D233" i="3"/>
  <c r="O96" i="3"/>
  <c r="D234" i="3"/>
  <c r="O97" i="3"/>
  <c r="D235" i="3"/>
  <c r="O98" i="3"/>
  <c r="D236" i="3"/>
  <c r="P83" i="3"/>
  <c r="D89" i="3"/>
  <c r="P84" i="3"/>
  <c r="D90" i="3"/>
  <c r="P85" i="3"/>
  <c r="D91" i="3"/>
  <c r="P86" i="3"/>
  <c r="D92" i="3"/>
  <c r="P87" i="3"/>
  <c r="D93" i="3"/>
  <c r="P88" i="3"/>
  <c r="D94" i="3"/>
  <c r="P89" i="3"/>
  <c r="D95" i="3"/>
  <c r="P90" i="3"/>
  <c r="D96" i="3"/>
  <c r="P91" i="3"/>
  <c r="D97" i="3"/>
  <c r="P92" i="3"/>
  <c r="D98" i="3"/>
  <c r="P93" i="3"/>
  <c r="P94" i="3"/>
  <c r="D100" i="3"/>
  <c r="P95" i="3"/>
  <c r="D101" i="3"/>
  <c r="P96" i="3"/>
  <c r="D102" i="3"/>
  <c r="P97" i="3"/>
  <c r="P98" i="3"/>
  <c r="D104" i="3"/>
  <c r="D265" i="3"/>
  <c r="D266" i="3"/>
  <c r="D270" i="3"/>
  <c r="O123" i="3"/>
  <c r="D264" i="3"/>
  <c r="D257" i="3"/>
  <c r="D221" i="3"/>
  <c r="O82" i="3"/>
  <c r="D220" i="3"/>
  <c r="G272" i="3"/>
  <c r="D271" i="3"/>
  <c r="G270" i="3"/>
  <c r="G269" i="3"/>
  <c r="H269" i="3"/>
  <c r="G268" i="3"/>
  <c r="H268" i="3"/>
  <c r="G267" i="3"/>
  <c r="G266" i="3"/>
  <c r="H266" i="3"/>
  <c r="G265" i="3"/>
  <c r="H265" i="3"/>
  <c r="G264" i="3"/>
  <c r="H264" i="3"/>
  <c r="G262" i="3"/>
  <c r="H262" i="3"/>
  <c r="G261" i="3"/>
  <c r="H261" i="3"/>
  <c r="G260" i="3"/>
  <c r="G259" i="3"/>
  <c r="H259" i="3"/>
  <c r="G258" i="3"/>
  <c r="G257" i="3"/>
  <c r="H257" i="3"/>
  <c r="G256" i="3"/>
  <c r="H256" i="3"/>
  <c r="G255" i="3"/>
  <c r="G254" i="3"/>
  <c r="G253" i="3"/>
  <c r="H253" i="3"/>
  <c r="G252" i="3"/>
  <c r="G251" i="3"/>
  <c r="G250" i="3"/>
  <c r="H250" i="3"/>
  <c r="G249" i="3"/>
  <c r="G248" i="3"/>
  <c r="H248" i="3"/>
  <c r="G247" i="3"/>
  <c r="H247" i="3"/>
  <c r="G246" i="3"/>
  <c r="G245" i="3"/>
  <c r="G244" i="3"/>
  <c r="G243" i="3"/>
  <c r="G242" i="3"/>
  <c r="G241" i="3"/>
  <c r="G240" i="3"/>
  <c r="H240" i="3"/>
  <c r="G239" i="3"/>
  <c r="G236" i="3"/>
  <c r="H236" i="3"/>
  <c r="G235" i="3"/>
  <c r="H235" i="3"/>
  <c r="G234" i="3"/>
  <c r="H234" i="3"/>
  <c r="G233" i="3"/>
  <c r="G232" i="3"/>
  <c r="H232" i="3"/>
  <c r="G231" i="3"/>
  <c r="H231" i="3"/>
  <c r="G230" i="3"/>
  <c r="H230" i="3"/>
  <c r="G229" i="3"/>
  <c r="H229" i="3"/>
  <c r="G228" i="3"/>
  <c r="G227" i="3"/>
  <c r="H227" i="3"/>
  <c r="G226" i="3"/>
  <c r="G225" i="3"/>
  <c r="G224" i="3"/>
  <c r="H224" i="3"/>
  <c r="G223" i="3"/>
  <c r="H223" i="3"/>
  <c r="G222" i="3"/>
  <c r="H222" i="3"/>
  <c r="G221" i="3"/>
  <c r="H221" i="3"/>
  <c r="G220" i="3"/>
  <c r="G219" i="3"/>
  <c r="H219" i="3"/>
  <c r="G218" i="3"/>
  <c r="G217" i="3"/>
  <c r="H217" i="3"/>
  <c r="G215" i="3"/>
  <c r="H215" i="3"/>
  <c r="G214" i="3"/>
  <c r="H214" i="3"/>
  <c r="G213" i="3"/>
  <c r="H213" i="3"/>
  <c r="G212" i="3"/>
  <c r="G211" i="3"/>
  <c r="D199" i="3"/>
  <c r="N123" i="3"/>
  <c r="D198" i="3"/>
  <c r="D195" i="3"/>
  <c r="G206" i="3"/>
  <c r="H206" i="3"/>
  <c r="H205" i="3"/>
  <c r="G205" i="3"/>
  <c r="N104" i="3"/>
  <c r="D178" i="3"/>
  <c r="D157" i="3"/>
  <c r="D162" i="3"/>
  <c r="D165" i="3"/>
  <c r="D169" i="3"/>
  <c r="D170" i="3"/>
  <c r="N82" i="3"/>
  <c r="D154" i="3"/>
  <c r="D205" i="3"/>
  <c r="G204" i="3"/>
  <c r="G203" i="3"/>
  <c r="G202" i="3"/>
  <c r="H202" i="3"/>
  <c r="G201" i="3"/>
  <c r="H201" i="3"/>
  <c r="G200" i="3"/>
  <c r="H200" i="3"/>
  <c r="G199" i="3"/>
  <c r="G198" i="3"/>
  <c r="H198" i="3"/>
  <c r="G196" i="3"/>
  <c r="H196" i="3"/>
  <c r="G195" i="3"/>
  <c r="H195" i="3"/>
  <c r="G194" i="3"/>
  <c r="H194" i="3"/>
  <c r="G192" i="3"/>
  <c r="G191" i="3"/>
  <c r="H191" i="3"/>
  <c r="G190" i="3"/>
  <c r="G189" i="3"/>
  <c r="G187" i="3"/>
  <c r="G186" i="3"/>
  <c r="G185" i="3"/>
  <c r="G184" i="3"/>
  <c r="H184" i="3"/>
  <c r="G183" i="3"/>
  <c r="G182" i="3"/>
  <c r="H182" i="3"/>
  <c r="G181" i="3"/>
  <c r="G180" i="3"/>
  <c r="G179" i="3"/>
  <c r="G178" i="3"/>
  <c r="G177" i="3"/>
  <c r="G176" i="3"/>
  <c r="G175" i="3"/>
  <c r="G174" i="3"/>
  <c r="H174" i="3"/>
  <c r="G173" i="3"/>
  <c r="G170" i="3"/>
  <c r="H170" i="3"/>
  <c r="G169" i="3"/>
  <c r="G168" i="3"/>
  <c r="H168" i="3"/>
  <c r="G167" i="3"/>
  <c r="H167" i="3"/>
  <c r="G166" i="3"/>
  <c r="H166" i="3"/>
  <c r="G165" i="3"/>
  <c r="H165" i="3"/>
  <c r="G164" i="3"/>
  <c r="H164" i="3"/>
  <c r="G163" i="3"/>
  <c r="G162" i="3"/>
  <c r="G161" i="3"/>
  <c r="H161" i="3"/>
  <c r="G160" i="3"/>
  <c r="G159" i="3"/>
  <c r="H159" i="3"/>
  <c r="G158" i="3"/>
  <c r="H158" i="3"/>
  <c r="G157" i="3"/>
  <c r="G156" i="3"/>
  <c r="G155" i="3"/>
  <c r="H155" i="3"/>
  <c r="G154" i="3"/>
  <c r="G153" i="3"/>
  <c r="H153" i="3"/>
  <c r="G152" i="3"/>
  <c r="G151" i="3"/>
  <c r="G150" i="3"/>
  <c r="G149" i="3"/>
  <c r="H149" i="3"/>
  <c r="G148" i="3"/>
  <c r="H148" i="3"/>
  <c r="G147" i="3"/>
  <c r="H147" i="3"/>
  <c r="G146" i="3"/>
  <c r="G145" i="3"/>
  <c r="G144" i="3"/>
  <c r="D134" i="3"/>
  <c r="D136" i="3"/>
  <c r="D116" i="3"/>
  <c r="D119" i="3"/>
  <c r="D120" i="3"/>
  <c r="P104" i="3"/>
  <c r="D112" i="3"/>
  <c r="D99" i="3"/>
  <c r="D103" i="3"/>
  <c r="P82" i="3"/>
  <c r="D88" i="3"/>
  <c r="D84" i="3"/>
  <c r="G17" i="3"/>
  <c r="H17" i="3"/>
  <c r="G74" i="3"/>
  <c r="G73" i="3"/>
  <c r="D73" i="3"/>
  <c r="G72" i="3"/>
  <c r="H72" i="3"/>
  <c r="G71" i="3"/>
  <c r="H71" i="3"/>
  <c r="G70" i="3"/>
  <c r="H70" i="3"/>
  <c r="G69" i="3"/>
  <c r="H69" i="3"/>
  <c r="G68" i="3"/>
  <c r="H68" i="3"/>
  <c r="G67" i="3"/>
  <c r="H67" i="3"/>
  <c r="G66" i="3"/>
  <c r="H66" i="3"/>
  <c r="D65" i="3"/>
  <c r="G64" i="3"/>
  <c r="H64" i="3"/>
  <c r="G63" i="3"/>
  <c r="H63" i="3"/>
  <c r="G62" i="3"/>
  <c r="H62" i="3"/>
  <c r="G60" i="3"/>
  <c r="H60" i="3"/>
  <c r="G59" i="3"/>
  <c r="H59" i="3"/>
  <c r="G58" i="3"/>
  <c r="H58" i="3"/>
  <c r="G57" i="3"/>
  <c r="D56" i="3"/>
  <c r="G55" i="3"/>
  <c r="H55" i="3"/>
  <c r="G54" i="3"/>
  <c r="H54" i="3"/>
  <c r="G53" i="3"/>
  <c r="H53" i="3"/>
  <c r="G52" i="3"/>
  <c r="H52" i="3"/>
  <c r="G51" i="3"/>
  <c r="H51" i="3"/>
  <c r="G50" i="3"/>
  <c r="H50" i="3"/>
  <c r="G49" i="3"/>
  <c r="H49" i="3"/>
  <c r="G48" i="3"/>
  <c r="H48" i="3"/>
  <c r="D47" i="3"/>
  <c r="G46" i="3"/>
  <c r="G45" i="3"/>
  <c r="D45" i="3"/>
  <c r="G44" i="3"/>
  <c r="H44" i="3"/>
  <c r="G43" i="3"/>
  <c r="H43" i="3"/>
  <c r="G42" i="3"/>
  <c r="H42" i="3"/>
  <c r="G41" i="3"/>
  <c r="H41" i="3"/>
  <c r="H40" i="3"/>
  <c r="D40" i="3"/>
  <c r="G38" i="3"/>
  <c r="H38" i="3"/>
  <c r="G37" i="3"/>
  <c r="H37" i="3"/>
  <c r="G36" i="3"/>
  <c r="H36" i="3"/>
  <c r="G35" i="3"/>
  <c r="H35" i="3"/>
  <c r="G34" i="3"/>
  <c r="H34" i="3"/>
  <c r="G33" i="3"/>
  <c r="H33" i="3"/>
  <c r="G32" i="3"/>
  <c r="H32" i="3"/>
  <c r="G31" i="3"/>
  <c r="H31" i="3"/>
  <c r="G30" i="3"/>
  <c r="H30" i="3"/>
  <c r="G29" i="3"/>
  <c r="H29" i="3"/>
  <c r="G28" i="3"/>
  <c r="H28" i="3"/>
  <c r="G27" i="3"/>
  <c r="H27" i="3"/>
  <c r="G26" i="3"/>
  <c r="H26" i="3"/>
  <c r="G25" i="3"/>
  <c r="H25" i="3"/>
  <c r="G24" i="3"/>
  <c r="H24" i="3"/>
  <c r="G23" i="3"/>
  <c r="H23" i="3"/>
  <c r="G22" i="3"/>
  <c r="H22" i="3"/>
  <c r="G21" i="3"/>
  <c r="H21" i="3"/>
  <c r="G20" i="3"/>
  <c r="H20" i="3"/>
  <c r="G19" i="3"/>
  <c r="G18" i="3"/>
  <c r="H19" i="3"/>
  <c r="D18" i="3"/>
  <c r="G16" i="3"/>
  <c r="H16" i="3"/>
  <c r="G15" i="3"/>
  <c r="G14" i="3"/>
  <c r="H151" i="3"/>
  <c r="H46" i="3"/>
  <c r="H45" i="3"/>
  <c r="I30" i="2"/>
  <c r="D30" i="2"/>
  <c r="J30" i="2"/>
  <c r="E30" i="2"/>
  <c r="K30" i="2"/>
  <c r="F30" i="2"/>
  <c r="L30" i="2"/>
  <c r="G30" i="2"/>
  <c r="M30" i="2"/>
  <c r="H30" i="2"/>
  <c r="I33" i="2"/>
  <c r="J33" i="2"/>
  <c r="K33" i="2"/>
  <c r="F33" i="2"/>
  <c r="L33" i="2"/>
  <c r="G33" i="2"/>
  <c r="M33" i="2"/>
  <c r="H33" i="2"/>
  <c r="J37" i="2"/>
  <c r="K37" i="2"/>
  <c r="F37" i="2"/>
  <c r="L37" i="2"/>
  <c r="G37" i="2"/>
  <c r="M37" i="2"/>
  <c r="I37" i="2"/>
  <c r="H30" i="7"/>
  <c r="A12" i="5"/>
  <c r="B12" i="5"/>
  <c r="B13" i="5"/>
  <c r="P123" i="3"/>
  <c r="D132" i="3"/>
  <c r="P115" i="3"/>
  <c r="D123" i="3"/>
  <c r="O115" i="3"/>
  <c r="D255" i="3"/>
  <c r="N115" i="3"/>
  <c r="D189" i="3"/>
  <c r="H189" i="3"/>
  <c r="N106" i="3"/>
  <c r="D180" i="3"/>
  <c r="O106" i="3"/>
  <c r="D246" i="3"/>
  <c r="H246" i="3"/>
  <c r="P106" i="3"/>
  <c r="D114" i="3"/>
  <c r="D113" i="3"/>
  <c r="A12" i="3"/>
  <c r="A78" i="3"/>
  <c r="N102" i="3"/>
  <c r="D176" i="3"/>
  <c r="H176" i="3"/>
  <c r="P102" i="3"/>
  <c r="D110" i="3"/>
  <c r="P101" i="3"/>
  <c r="D109" i="3"/>
  <c r="D106" i="3"/>
  <c r="O102" i="3"/>
  <c r="D242" i="3"/>
  <c r="H242" i="3"/>
  <c r="O101" i="3"/>
  <c r="D241" i="3"/>
  <c r="D238" i="3"/>
  <c r="N101" i="3"/>
  <c r="D175" i="3"/>
  <c r="H175" i="3"/>
  <c r="G140" i="3"/>
  <c r="H140" i="3"/>
  <c r="H139" i="3"/>
  <c r="D139" i="3"/>
  <c r="G138" i="3"/>
  <c r="G137" i="3"/>
  <c r="H137" i="3"/>
  <c r="G136" i="3"/>
  <c r="G135" i="3"/>
  <c r="G134" i="3"/>
  <c r="H134" i="3"/>
  <c r="G133" i="3"/>
  <c r="G132" i="3"/>
  <c r="G130" i="3"/>
  <c r="H130" i="3"/>
  <c r="G129" i="3"/>
  <c r="H129" i="3"/>
  <c r="G128" i="3"/>
  <c r="H128" i="3"/>
  <c r="G126" i="3"/>
  <c r="G125" i="3"/>
  <c r="G124" i="3"/>
  <c r="G123" i="3"/>
  <c r="G121" i="3"/>
  <c r="H121" i="3"/>
  <c r="G120" i="3"/>
  <c r="H120" i="3"/>
  <c r="G119" i="3"/>
  <c r="G118" i="3"/>
  <c r="G117" i="3"/>
  <c r="G116" i="3"/>
  <c r="H116" i="3"/>
  <c r="G115" i="3"/>
  <c r="G114" i="3"/>
  <c r="G112" i="3"/>
  <c r="G111" i="3"/>
  <c r="G110" i="3"/>
  <c r="G109" i="3"/>
  <c r="G108" i="3"/>
  <c r="H108" i="3"/>
  <c r="G107" i="3"/>
  <c r="G106" i="3"/>
  <c r="H107" i="3"/>
  <c r="G104" i="3"/>
  <c r="H104" i="3"/>
  <c r="G103" i="3"/>
  <c r="H103" i="3"/>
  <c r="G102" i="3"/>
  <c r="G101" i="3"/>
  <c r="H101" i="3"/>
  <c r="G100" i="3"/>
  <c r="G99" i="3"/>
  <c r="H99" i="3"/>
  <c r="G98" i="3"/>
  <c r="H98" i="3"/>
  <c r="G97" i="3"/>
  <c r="H97" i="3"/>
  <c r="G96" i="3"/>
  <c r="H96" i="3"/>
  <c r="G95" i="3"/>
  <c r="H95" i="3"/>
  <c r="G94" i="3"/>
  <c r="G93" i="3"/>
  <c r="H93" i="3"/>
  <c r="G92" i="3"/>
  <c r="H92" i="3"/>
  <c r="G91" i="3"/>
  <c r="H91" i="3"/>
  <c r="G90" i="3"/>
  <c r="G89" i="3"/>
  <c r="H89" i="3"/>
  <c r="G88" i="3"/>
  <c r="G87" i="3"/>
  <c r="H87" i="3"/>
  <c r="G86" i="3"/>
  <c r="H86" i="3"/>
  <c r="G85" i="3"/>
  <c r="H85" i="3"/>
  <c r="G83" i="3"/>
  <c r="H83" i="3"/>
  <c r="G82" i="3"/>
  <c r="H82" i="3"/>
  <c r="G81" i="3"/>
  <c r="H81" i="3"/>
  <c r="G80" i="3"/>
  <c r="G139" i="3"/>
  <c r="H114" i="3"/>
  <c r="J43" i="2"/>
  <c r="E43" i="2"/>
  <c r="K43" i="2"/>
  <c r="F43" i="2"/>
  <c r="L43" i="2"/>
  <c r="G43" i="2"/>
  <c r="M43" i="2"/>
  <c r="H43" i="2"/>
  <c r="A10" i="2"/>
  <c r="A29" i="7"/>
  <c r="B29" i="7"/>
  <c r="H29" i="7"/>
  <c r="I30" i="7"/>
  <c r="B30" i="7"/>
  <c r="B32" i="2"/>
  <c r="B29" i="2"/>
  <c r="A22" i="2"/>
  <c r="A8" i="15"/>
  <c r="J69" i="13"/>
  <c r="K69" i="13"/>
  <c r="J68" i="13"/>
  <c r="K68" i="13"/>
  <c r="J67" i="13"/>
  <c r="K67" i="13"/>
  <c r="J66" i="13"/>
  <c r="K66" i="13"/>
  <c r="J65" i="13"/>
  <c r="K65" i="13"/>
  <c r="K70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/>
  <c r="J47" i="13"/>
  <c r="K47" i="13"/>
  <c r="R47" i="13"/>
  <c r="J46" i="13"/>
  <c r="K46" i="13"/>
  <c r="J45" i="13"/>
  <c r="K45" i="13"/>
  <c r="P45" i="13"/>
  <c r="J44" i="13"/>
  <c r="K44" i="13"/>
  <c r="J43" i="13"/>
  <c r="K43" i="13"/>
  <c r="N43" i="13"/>
  <c r="J42" i="13"/>
  <c r="K42" i="13"/>
  <c r="J41" i="13"/>
  <c r="K41" i="13"/>
  <c r="R41" i="13"/>
  <c r="J53" i="13"/>
  <c r="K53" i="13"/>
  <c r="P53" i="13"/>
  <c r="J52" i="13"/>
  <c r="K52" i="13"/>
  <c r="J51" i="13"/>
  <c r="K51" i="13"/>
  <c r="J50" i="13"/>
  <c r="K50" i="13"/>
  <c r="H35" i="7"/>
  <c r="L38" i="15"/>
  <c r="I38" i="15"/>
  <c r="Q16" i="1"/>
  <c r="H14" i="5"/>
  <c r="J10" i="5"/>
  <c r="K10" i="5"/>
  <c r="L10" i="5"/>
  <c r="W78" i="13"/>
  <c r="W70" i="13"/>
  <c r="W60" i="13"/>
  <c r="W49" i="13"/>
  <c r="W46" i="13"/>
  <c r="W41" i="13"/>
  <c r="W20" i="13"/>
  <c r="W16" i="13"/>
  <c r="W15" i="13"/>
  <c r="J61" i="13"/>
  <c r="K61" i="13"/>
  <c r="J60" i="13"/>
  <c r="K60" i="13"/>
  <c r="J59" i="13"/>
  <c r="K59" i="13"/>
  <c r="J58" i="13"/>
  <c r="K58" i="13"/>
  <c r="J57" i="13"/>
  <c r="K57" i="13"/>
  <c r="R57" i="13"/>
  <c r="J56" i="13"/>
  <c r="K56" i="13"/>
  <c r="J55" i="13"/>
  <c r="K55" i="13"/>
  <c r="J54" i="13"/>
  <c r="K54" i="13"/>
  <c r="J49" i="13"/>
  <c r="K49" i="13"/>
  <c r="R49" i="13"/>
  <c r="J40" i="13"/>
  <c r="K40" i="13"/>
  <c r="N40" i="13"/>
  <c r="J39" i="13"/>
  <c r="K39" i="13"/>
  <c r="J38" i="13"/>
  <c r="K38" i="13"/>
  <c r="N38" i="13"/>
  <c r="J37" i="13"/>
  <c r="K37" i="13"/>
  <c r="J36" i="13"/>
  <c r="K36" i="13"/>
  <c r="N36" i="13"/>
  <c r="J35" i="13"/>
  <c r="K35" i="13"/>
  <c r="N35" i="13"/>
  <c r="J34" i="13"/>
  <c r="K34" i="13"/>
  <c r="P34" i="13"/>
  <c r="J33" i="13"/>
  <c r="K33" i="13"/>
  <c r="J32" i="13"/>
  <c r="K32" i="13"/>
  <c r="P32" i="13"/>
  <c r="J31" i="13"/>
  <c r="K31" i="13"/>
  <c r="J30" i="13"/>
  <c r="K30" i="13"/>
  <c r="J29" i="13"/>
  <c r="K29" i="13"/>
  <c r="J28" i="13"/>
  <c r="K28" i="13"/>
  <c r="J27" i="13"/>
  <c r="K27" i="13"/>
  <c r="P27" i="13"/>
  <c r="J26" i="13"/>
  <c r="K26" i="13"/>
  <c r="P26" i="13"/>
  <c r="J25" i="13"/>
  <c r="K25" i="13"/>
  <c r="P25" i="13"/>
  <c r="J24" i="13"/>
  <c r="K24" i="13"/>
  <c r="N24" i="13"/>
  <c r="J23" i="13"/>
  <c r="K23" i="13"/>
  <c r="J22" i="13"/>
  <c r="K22" i="13"/>
  <c r="J21" i="13"/>
  <c r="K21" i="13"/>
  <c r="J20" i="13"/>
  <c r="K20" i="13"/>
  <c r="J19" i="13"/>
  <c r="K19" i="13"/>
  <c r="R19" i="13"/>
  <c r="J18" i="13"/>
  <c r="K18" i="13"/>
  <c r="R18" i="13"/>
  <c r="J17" i="13"/>
  <c r="K17" i="13"/>
  <c r="N17" i="13"/>
  <c r="J16" i="13"/>
  <c r="K16" i="13"/>
  <c r="J15" i="13"/>
  <c r="K15" i="13"/>
  <c r="E4" i="13"/>
  <c r="B44" i="12"/>
  <c r="B29" i="12"/>
  <c r="R61" i="13"/>
  <c r="R39" i="13"/>
  <c r="D41" i="2"/>
  <c r="D38" i="2"/>
  <c r="I23" i="2"/>
  <c r="F41" i="2"/>
  <c r="K41" i="2"/>
  <c r="P22" i="2"/>
  <c r="P24" i="2"/>
  <c r="P25" i="2"/>
  <c r="P27" i="2"/>
  <c r="K26" i="2"/>
  <c r="F26" i="2"/>
  <c r="K23" i="2"/>
  <c r="H27" i="7"/>
  <c r="E4" i="12"/>
  <c r="B11" i="12"/>
  <c r="I43" i="2"/>
  <c r="I40" i="2"/>
  <c r="B42" i="2"/>
  <c r="B39" i="2"/>
  <c r="B36" i="2"/>
  <c r="J26" i="2"/>
  <c r="E26" i="2"/>
  <c r="L26" i="2"/>
  <c r="M26" i="2"/>
  <c r="H26" i="2"/>
  <c r="I26" i="2"/>
  <c r="D26" i="2"/>
  <c r="J23" i="2"/>
  <c r="L23" i="2"/>
  <c r="M23" i="2"/>
  <c r="H23" i="2"/>
  <c r="A36" i="2"/>
  <c r="B25" i="2"/>
  <c r="B22" i="2"/>
  <c r="I10" i="5"/>
  <c r="H10" i="5"/>
  <c r="B11" i="5"/>
  <c r="B14" i="5"/>
  <c r="B15" i="5"/>
  <c r="B16" i="5"/>
  <c r="A14" i="5"/>
  <c r="B17" i="1"/>
  <c r="B23" i="1"/>
  <c r="B24" i="1"/>
  <c r="B25" i="1"/>
  <c r="B16" i="1"/>
  <c r="A23" i="1"/>
  <c r="H36" i="7"/>
  <c r="B36" i="7"/>
  <c r="B35" i="7"/>
  <c r="H34" i="7"/>
  <c r="I36" i="7"/>
  <c r="B34" i="7"/>
  <c r="A34" i="7"/>
  <c r="H28" i="7"/>
  <c r="A27" i="7"/>
  <c r="B28" i="7"/>
  <c r="B27" i="7"/>
  <c r="A16" i="1"/>
  <c r="C8" i="2"/>
  <c r="B8" i="2"/>
  <c r="M41" i="2"/>
  <c r="H41" i="2"/>
  <c r="L41" i="2"/>
  <c r="G41" i="2"/>
  <c r="Q17" i="1"/>
  <c r="Q23" i="1"/>
  <c r="Q24" i="1"/>
  <c r="Q25" i="1"/>
  <c r="G4" i="5"/>
  <c r="D4" i="1"/>
  <c r="B10" i="5"/>
  <c r="A10" i="5"/>
  <c r="A9" i="2"/>
  <c r="D44" i="2"/>
  <c r="A9" i="5"/>
  <c r="B9" i="5"/>
  <c r="J41" i="2"/>
  <c r="E41" i="2"/>
  <c r="N41" i="2"/>
  <c r="B12" i="2"/>
  <c r="N56" i="13"/>
  <c r="D38" i="15"/>
  <c r="H38" i="15"/>
  <c r="M38" i="15"/>
  <c r="F38" i="15"/>
  <c r="B38" i="15"/>
  <c r="C38" i="15"/>
  <c r="G38" i="15"/>
  <c r="G16" i="15"/>
  <c r="H16" i="15"/>
  <c r="H169" i="3"/>
  <c r="H74" i="3"/>
  <c r="H73" i="3"/>
  <c r="N30" i="13"/>
  <c r="R30" i="13"/>
  <c r="P49" i="13"/>
  <c r="N49" i="13"/>
  <c r="N34" i="13"/>
  <c r="R34" i="13"/>
  <c r="P46" i="13"/>
  <c r="B19" i="12"/>
  <c r="A29" i="2"/>
  <c r="A19" i="15"/>
  <c r="H57" i="3"/>
  <c r="N39" i="13"/>
  <c r="P39" i="13"/>
  <c r="P61" i="13"/>
  <c r="N61" i="13"/>
  <c r="R36" i="13"/>
  <c r="P36" i="13"/>
  <c r="G13" i="3"/>
  <c r="G12" i="3"/>
  <c r="H15" i="3"/>
  <c r="H152" i="3"/>
  <c r="G238" i="3"/>
  <c r="G263" i="3"/>
  <c r="H270" i="3"/>
  <c r="H109" i="3"/>
  <c r="H239" i="3"/>
  <c r="H228" i="3"/>
  <c r="H119" i="3"/>
  <c r="H124" i="3"/>
  <c r="H157" i="3"/>
  <c r="P30" i="13"/>
  <c r="N57" i="13"/>
  <c r="P47" i="13"/>
  <c r="N47" i="13"/>
  <c r="H132" i="3"/>
  <c r="R48" i="13"/>
  <c r="N53" i="13"/>
  <c r="P45" i="2"/>
  <c r="H199" i="3"/>
  <c r="G271" i="3"/>
  <c r="H272" i="3"/>
  <c r="H271" i="3"/>
  <c r="H260" i="3"/>
  <c r="D243" i="3"/>
  <c r="H244" i="3"/>
  <c r="H243" i="3"/>
  <c r="G79" i="3"/>
  <c r="D39" i="3"/>
  <c r="G27" i="15"/>
  <c r="H27" i="15"/>
  <c r="E27" i="15"/>
  <c r="J27" i="15"/>
  <c r="M27" i="15"/>
  <c r="B27" i="15"/>
  <c r="G26" i="2"/>
  <c r="P41" i="13"/>
  <c r="N41" i="13"/>
  <c r="R40" i="13"/>
  <c r="P40" i="13"/>
  <c r="N42" i="13"/>
  <c r="R42" i="13"/>
  <c r="P42" i="13"/>
  <c r="N44" i="13"/>
  <c r="R44" i="13"/>
  <c r="P44" i="13"/>
  <c r="R43" i="13"/>
  <c r="P43" i="13"/>
  <c r="R45" i="13"/>
  <c r="N45" i="13"/>
  <c r="R35" i="13"/>
  <c r="N27" i="13"/>
  <c r="R27" i="13"/>
  <c r="N26" i="13"/>
  <c r="R26" i="13"/>
  <c r="P17" i="13"/>
  <c r="R17" i="13"/>
  <c r="P16" i="13"/>
  <c r="R16" i="13"/>
  <c r="P18" i="13"/>
  <c r="N18" i="13"/>
  <c r="R32" i="13"/>
  <c r="N32" i="13"/>
  <c r="R24" i="13"/>
  <c r="R23" i="13"/>
  <c r="P23" i="13"/>
  <c r="N23" i="13"/>
  <c r="P19" i="13"/>
  <c r="N19" i="13"/>
  <c r="P22" i="13"/>
  <c r="R22" i="13"/>
  <c r="N22" i="13"/>
  <c r="H258" i="3"/>
  <c r="H192" i="3"/>
  <c r="H117" i="3"/>
  <c r="H249" i="3"/>
  <c r="H183" i="3"/>
  <c r="D263" i="3"/>
  <c r="P29" i="13"/>
  <c r="I50" i="9"/>
  <c r="B76" i="9"/>
  <c r="B53" i="9"/>
  <c r="H100" i="3"/>
  <c r="D172" i="3"/>
  <c r="H154" i="3"/>
  <c r="H220" i="3"/>
  <c r="H181" i="3"/>
  <c r="H115" i="3"/>
  <c r="H173" i="3"/>
  <c r="H172" i="3"/>
  <c r="R25" i="13"/>
  <c r="N25" i="13"/>
  <c r="H252" i="3"/>
  <c r="H37" i="2"/>
  <c r="D33" i="2"/>
  <c r="P21" i="13"/>
  <c r="N21" i="13"/>
  <c r="R21" i="13"/>
  <c r="H65" i="3"/>
  <c r="D111" i="3"/>
  <c r="H112" i="3"/>
  <c r="H111" i="3"/>
  <c r="H225" i="3"/>
  <c r="P35" i="2"/>
  <c r="R51" i="13"/>
  <c r="N51" i="13"/>
  <c r="P51" i="13"/>
  <c r="H241" i="3"/>
  <c r="H238" i="3"/>
  <c r="G23" i="2"/>
  <c r="H136" i="3"/>
  <c r="G131" i="3"/>
  <c r="E33" i="2"/>
  <c r="G216" i="3"/>
  <c r="G210" i="3"/>
  <c r="H218" i="3"/>
  <c r="H135" i="3"/>
  <c r="R60" i="13"/>
  <c r="G197" i="3"/>
  <c r="H204" i="3"/>
  <c r="H185" i="3"/>
  <c r="P33" i="13"/>
  <c r="D177" i="3"/>
  <c r="H178" i="3"/>
  <c r="H177" i="3"/>
  <c r="H138" i="3"/>
  <c r="H267" i="3"/>
  <c r="L11" i="12"/>
  <c r="G21" i="9"/>
  <c r="B29" i="9"/>
  <c r="B27" i="9"/>
  <c r="H118" i="3"/>
  <c r="N16" i="13"/>
  <c r="R38" i="13"/>
  <c r="P38" i="13"/>
  <c r="K27" i="15"/>
  <c r="C27" i="15"/>
  <c r="R46" i="13"/>
  <c r="N46" i="13"/>
  <c r="G113" i="3"/>
  <c r="H110" i="3"/>
  <c r="G172" i="3"/>
  <c r="H263" i="3"/>
  <c r="H102" i="3"/>
  <c r="E37" i="2"/>
  <c r="H186" i="3"/>
  <c r="F193" i="3"/>
  <c r="G193" i="3"/>
  <c r="H193" i="3"/>
  <c r="G65" i="3"/>
  <c r="D16" i="15"/>
  <c r="M16" i="15"/>
  <c r="F127" i="3"/>
  <c r="G127" i="3"/>
  <c r="H127" i="3"/>
  <c r="K16" i="15"/>
  <c r="L16" i="15"/>
  <c r="F16" i="15"/>
  <c r="E16" i="15"/>
  <c r="J16" i="15"/>
  <c r="I16" i="15"/>
  <c r="H233" i="3"/>
  <c r="H156" i="3"/>
  <c r="D27" i="15"/>
  <c r="P35" i="13"/>
  <c r="I27" i="15"/>
  <c r="G47" i="3"/>
  <c r="H88" i="3"/>
  <c r="H163" i="3"/>
  <c r="H187" i="3"/>
  <c r="H251" i="3"/>
  <c r="G19" i="9"/>
  <c r="H123" i="3"/>
  <c r="F27" i="15"/>
  <c r="G84" i="3"/>
  <c r="G78" i="3"/>
  <c r="R58" i="13"/>
  <c r="N58" i="13"/>
  <c r="P58" i="13"/>
  <c r="P50" i="13"/>
  <c r="N50" i="13"/>
  <c r="H126" i="3"/>
  <c r="L27" i="15"/>
  <c r="R50" i="13"/>
  <c r="N48" i="13"/>
  <c r="P48" i="13"/>
  <c r="H162" i="3"/>
  <c r="K38" i="15"/>
  <c r="E38" i="15"/>
  <c r="B20" i="15"/>
  <c r="D10" i="2"/>
  <c r="K10" i="15"/>
  <c r="F10" i="15"/>
  <c r="C10" i="15"/>
  <c r="G188" i="3"/>
  <c r="G171" i="3"/>
  <c r="D23" i="2"/>
  <c r="J38" i="15"/>
  <c r="I28" i="7"/>
  <c r="G5" i="15"/>
  <c r="H5" i="15"/>
  <c r="E5" i="15"/>
  <c r="H226" i="3"/>
  <c r="H160" i="3"/>
  <c r="D150" i="3"/>
  <c r="H94" i="3"/>
  <c r="D50" i="9"/>
  <c r="L29" i="12"/>
  <c r="J32" i="15"/>
  <c r="H150" i="3"/>
  <c r="I32" i="15"/>
  <c r="D146" i="3"/>
  <c r="H146" i="3"/>
  <c r="H145" i="3"/>
  <c r="H144" i="3"/>
  <c r="R15" i="13"/>
  <c r="P15" i="13"/>
  <c r="N15" i="13"/>
  <c r="K62" i="13"/>
  <c r="G32" i="15"/>
  <c r="M32" i="15"/>
  <c r="L32" i="15"/>
  <c r="H32" i="15"/>
  <c r="P54" i="13"/>
  <c r="R54" i="13"/>
  <c r="N54" i="13"/>
  <c r="N60" i="13"/>
  <c r="P60" i="13"/>
  <c r="G207" i="3"/>
  <c r="H216" i="3"/>
  <c r="H125" i="3"/>
  <c r="H122" i="3"/>
  <c r="D122" i="3"/>
  <c r="H203" i="3"/>
  <c r="D197" i="3"/>
  <c r="H197" i="3"/>
  <c r="D73" i="9"/>
  <c r="H133" i="3"/>
  <c r="H131" i="3"/>
  <c r="D131" i="3"/>
  <c r="H43" i="15"/>
  <c r="D212" i="3"/>
  <c r="M10" i="15"/>
  <c r="E10" i="15"/>
  <c r="I10" i="15"/>
  <c r="J10" i="15"/>
  <c r="L10" i="15"/>
  <c r="D14" i="3"/>
  <c r="H10" i="15"/>
  <c r="B10" i="15"/>
  <c r="P28" i="2"/>
  <c r="R37" i="13"/>
  <c r="N37" i="13"/>
  <c r="P37" i="13"/>
  <c r="P55" i="13"/>
  <c r="N55" i="13"/>
  <c r="R55" i="13"/>
  <c r="H245" i="3"/>
  <c r="D43" i="15"/>
  <c r="F61" i="3"/>
  <c r="G61" i="3"/>
  <c r="G122" i="3"/>
  <c r="G105" i="3"/>
  <c r="G141" i="3"/>
  <c r="E23" i="2"/>
  <c r="P28" i="13"/>
  <c r="R28" i="13"/>
  <c r="N28" i="13"/>
  <c r="B32" i="15"/>
  <c r="N33" i="13"/>
  <c r="R33" i="13"/>
  <c r="D145" i="3"/>
  <c r="D144" i="3"/>
  <c r="D32" i="15"/>
  <c r="F32" i="15"/>
  <c r="E32" i="15"/>
  <c r="J43" i="15"/>
  <c r="D10" i="15"/>
  <c r="R29" i="13"/>
  <c r="N29" i="13"/>
  <c r="N59" i="13"/>
  <c r="P59" i="13"/>
  <c r="D105" i="3"/>
  <c r="H190" i="3"/>
  <c r="H188" i="3"/>
  <c r="D188" i="3"/>
  <c r="C32" i="15"/>
  <c r="K32" i="15"/>
  <c r="I5" i="15"/>
  <c r="R59" i="13"/>
  <c r="D45" i="2"/>
  <c r="P24" i="13"/>
  <c r="R52" i="13"/>
  <c r="N52" i="13"/>
  <c r="B43" i="15"/>
  <c r="G43" i="15"/>
  <c r="E43" i="15"/>
  <c r="C43" i="15"/>
  <c r="L43" i="15"/>
  <c r="F43" i="15"/>
  <c r="M43" i="15"/>
  <c r="K43" i="15"/>
  <c r="D216" i="3"/>
  <c r="G10" i="15"/>
  <c r="H113" i="3"/>
  <c r="R53" i="13"/>
  <c r="P52" i="13"/>
  <c r="P20" i="13"/>
  <c r="R20" i="13"/>
  <c r="N20" i="13"/>
  <c r="J5" i="15"/>
  <c r="D5" i="15"/>
  <c r="K5" i="15"/>
  <c r="M5" i="15"/>
  <c r="F5" i="15"/>
  <c r="L5" i="15"/>
  <c r="D245" i="3"/>
  <c r="H90" i="3"/>
  <c r="H84" i="3"/>
  <c r="R31" i="13"/>
  <c r="P31" i="13"/>
  <c r="N31" i="13"/>
  <c r="H18" i="3"/>
  <c r="H47" i="3"/>
  <c r="P56" i="13"/>
  <c r="R56" i="13"/>
  <c r="D179" i="3"/>
  <c r="D171" i="3"/>
  <c r="H180" i="3"/>
  <c r="H179" i="3"/>
  <c r="H171" i="3"/>
  <c r="H207" i="3"/>
  <c r="F23" i="2"/>
  <c r="P57" i="13"/>
  <c r="L19" i="12"/>
  <c r="W40" i="13"/>
  <c r="W80" i="13"/>
  <c r="D254" i="3"/>
  <c r="D237" i="3"/>
  <c r="H255" i="3"/>
  <c r="H254" i="3"/>
  <c r="H237" i="3"/>
  <c r="G40" i="3"/>
  <c r="E33" i="15"/>
  <c r="L33" i="15"/>
  <c r="F33" i="15"/>
  <c r="D33" i="15"/>
  <c r="B33" i="15"/>
  <c r="K33" i="15"/>
  <c r="H33" i="15"/>
  <c r="M33" i="15"/>
  <c r="J33" i="15"/>
  <c r="G33" i="15"/>
  <c r="F11" i="2"/>
  <c r="C33" i="15"/>
  <c r="I33" i="15"/>
  <c r="D9" i="2"/>
  <c r="D13" i="2"/>
  <c r="P46" i="2"/>
  <c r="B9" i="15"/>
  <c r="R62" i="13"/>
  <c r="J140" i="3"/>
  <c r="D207" i="3"/>
  <c r="N10" i="15"/>
  <c r="D211" i="3"/>
  <c r="D210" i="3"/>
  <c r="D273" i="3"/>
  <c r="H212" i="3"/>
  <c r="H211" i="3"/>
  <c r="H210" i="3"/>
  <c r="H273" i="3"/>
  <c r="J206" i="3"/>
  <c r="J207" i="3"/>
  <c r="J21" i="15"/>
  <c r="L21" i="15"/>
  <c r="H21" i="15"/>
  <c r="G21" i="15"/>
  <c r="F21" i="15"/>
  <c r="B21" i="15"/>
  <c r="I21" i="15"/>
  <c r="C21" i="15"/>
  <c r="M21" i="15"/>
  <c r="D80" i="3"/>
  <c r="K21" i="15"/>
  <c r="E21" i="15"/>
  <c r="L59" i="12"/>
  <c r="D21" i="15"/>
  <c r="N62" i="13"/>
  <c r="N32" i="15"/>
  <c r="J272" i="3"/>
  <c r="G56" i="3"/>
  <c r="G39" i="3"/>
  <c r="G75" i="3"/>
  <c r="H61" i="3"/>
  <c r="H14" i="3"/>
  <c r="H13" i="3"/>
  <c r="H12" i="3"/>
  <c r="D13" i="3"/>
  <c r="D12" i="3"/>
  <c r="D75" i="3"/>
  <c r="P62" i="13"/>
  <c r="N21" i="15"/>
  <c r="D79" i="3"/>
  <c r="D78" i="3"/>
  <c r="D141" i="3"/>
  <c r="H80" i="3"/>
  <c r="H79" i="3"/>
  <c r="H78" i="3"/>
  <c r="D44" i="15"/>
  <c r="H44" i="15"/>
  <c r="M44" i="15"/>
  <c r="E44" i="15"/>
  <c r="K44" i="15"/>
  <c r="G44" i="15"/>
  <c r="C44" i="15"/>
  <c r="J44" i="15"/>
  <c r="I44" i="15"/>
  <c r="F12" i="2"/>
  <c r="B44" i="15"/>
  <c r="F44" i="15"/>
  <c r="J273" i="3"/>
  <c r="L44" i="15"/>
  <c r="N33" i="15"/>
  <c r="H56" i="3"/>
  <c r="H39" i="3"/>
  <c r="H75" i="3"/>
  <c r="J74" i="3"/>
  <c r="AA15" i="13"/>
  <c r="M62" i="13"/>
  <c r="Z15" i="13"/>
  <c r="AG15" i="13"/>
  <c r="AH15" i="13"/>
  <c r="O62" i="13"/>
  <c r="AB15" i="13"/>
  <c r="AI15" i="13"/>
  <c r="AJ15" i="13"/>
  <c r="AC15" i="13"/>
  <c r="AP15" i="13"/>
  <c r="AE15" i="13"/>
  <c r="Q62" i="13"/>
  <c r="AD15" i="13"/>
  <c r="AK15" i="13"/>
  <c r="AL15" i="13"/>
  <c r="AR15" i="13"/>
  <c r="G11" i="15"/>
  <c r="C11" i="15"/>
  <c r="J75" i="3"/>
  <c r="K11" i="15"/>
  <c r="L11" i="15"/>
  <c r="B11" i="15"/>
  <c r="H11" i="15"/>
  <c r="J11" i="15"/>
  <c r="F9" i="2"/>
  <c r="F11" i="15"/>
  <c r="I11" i="15"/>
  <c r="E11" i="15"/>
  <c r="M11" i="15"/>
  <c r="D11" i="15"/>
  <c r="N44" i="15"/>
  <c r="AN15" i="13"/>
  <c r="N11" i="15"/>
  <c r="B12" i="15"/>
  <c r="N43" i="15"/>
  <c r="G237" i="3"/>
  <c r="G273" i="3"/>
  <c r="H106" i="3"/>
  <c r="H105" i="3"/>
  <c r="H141" i="3"/>
  <c r="H274" i="3"/>
  <c r="C22" i="15"/>
  <c r="I22" i="15"/>
  <c r="L22" i="15"/>
  <c r="M22" i="15"/>
  <c r="H22" i="15"/>
  <c r="B22" i="15"/>
  <c r="D22" i="15"/>
  <c r="J141" i="3"/>
  <c r="F22" i="15"/>
  <c r="G22" i="15"/>
  <c r="J22" i="15"/>
  <c r="K22" i="15"/>
  <c r="F10" i="2"/>
  <c r="E22" i="15"/>
  <c r="F13" i="2"/>
  <c r="G10" i="2"/>
  <c r="H10" i="2"/>
  <c r="N22" i="15"/>
  <c r="B23" i="15"/>
  <c r="G11" i="2"/>
  <c r="G13" i="2"/>
  <c r="L10" i="2"/>
  <c r="G12" i="2"/>
  <c r="G9" i="2"/>
  <c r="L9" i="2"/>
  <c r="H9" i="2"/>
  <c r="L12" i="2"/>
  <c r="H12" i="2"/>
  <c r="L11" i="2"/>
  <c r="H11" i="2"/>
  <c r="H13" i="2"/>
  <c r="L13" i="2"/>
  <c r="M20" i="7"/>
  <c r="C24" i="1" s="1"/>
  <c r="H24" i="1" s="1"/>
  <c r="R15" i="5"/>
  <c r="M21" i="7"/>
  <c r="I42" i="2" s="1"/>
  <c r="I44" i="2" s="1"/>
  <c r="R13" i="5"/>
  <c r="M14" i="7"/>
  <c r="C18" i="1" s="1"/>
  <c r="H18" i="1" s="1"/>
  <c r="L13" i="7"/>
  <c r="Q13" i="7" s="1"/>
  <c r="K12" i="7"/>
  <c r="P12" i="7" s="1"/>
  <c r="I21" i="7"/>
  <c r="S16" i="5"/>
  <c r="I12" i="7"/>
  <c r="S10" i="5" s="1"/>
  <c r="R16" i="5"/>
  <c r="R12" i="5"/>
  <c r="L21" i="7"/>
  <c r="V16" i="5" s="1"/>
  <c r="N21" i="7"/>
  <c r="J42" i="2" s="1"/>
  <c r="J13" i="7"/>
  <c r="O13" i="7"/>
  <c r="E17" i="1" s="1"/>
  <c r="J17" i="1" s="1"/>
  <c r="R10" i="5"/>
  <c r="K14" i="7"/>
  <c r="U12" i="5" s="1"/>
  <c r="P14" i="7"/>
  <c r="F18" i="1" s="1"/>
  <c r="K18" i="1" s="1"/>
  <c r="J14" i="7"/>
  <c r="T12" i="5" s="1"/>
  <c r="K13" i="7"/>
  <c r="U11" i="5"/>
  <c r="I14" i="7"/>
  <c r="N14" i="7" s="1"/>
  <c r="L14" i="7"/>
  <c r="V12" i="5" s="1"/>
  <c r="U10" i="5"/>
  <c r="R11" i="5"/>
  <c r="P13" i="7"/>
  <c r="L25" i="2" s="1"/>
  <c r="I13" i="7"/>
  <c r="N13" i="7" s="1"/>
  <c r="M13" i="7"/>
  <c r="I15" i="7"/>
  <c r="N15" i="7" s="1"/>
  <c r="M15" i="7"/>
  <c r="K15" i="7"/>
  <c r="D25" i="1"/>
  <c r="I25" i="1" s="1"/>
  <c r="J15" i="7"/>
  <c r="T13" i="5" s="1"/>
  <c r="J19" i="7"/>
  <c r="T14" i="5" s="1"/>
  <c r="M19" i="7"/>
  <c r="K19" i="7"/>
  <c r="I19" i="7"/>
  <c r="C15" i="5"/>
  <c r="M15" i="5" s="1"/>
  <c r="R14" i="5"/>
  <c r="K25" i="2"/>
  <c r="F25" i="2" s="1"/>
  <c r="F27" i="2" s="1"/>
  <c r="D29" i="2"/>
  <c r="I29" i="2" s="1"/>
  <c r="I31" i="2" s="1"/>
  <c r="T11" i="5"/>
  <c r="O14" i="7"/>
  <c r="E18" i="1" s="1"/>
  <c r="J18" i="1" s="1"/>
  <c r="L19" i="7"/>
  <c r="L15" i="7"/>
  <c r="V13" i="5" s="1"/>
  <c r="J12" i="7"/>
  <c r="T10" i="5" s="1"/>
  <c r="L12" i="7"/>
  <c r="C16" i="5"/>
  <c r="C25" i="1"/>
  <c r="H25" i="1" s="1"/>
  <c r="M12" i="7"/>
  <c r="C10" i="5" s="1"/>
  <c r="M10" i="5" s="1"/>
  <c r="J21" i="7"/>
  <c r="T16" i="5" s="1"/>
  <c r="K21" i="7"/>
  <c r="S12" i="5"/>
  <c r="M16" i="5"/>
  <c r="Q14" i="7"/>
  <c r="H29" i="2" s="1"/>
  <c r="C11" i="5"/>
  <c r="C17" i="1"/>
  <c r="H17" i="1"/>
  <c r="I25" i="2"/>
  <c r="S11" i="5"/>
  <c r="F17" i="1"/>
  <c r="K17" i="1"/>
  <c r="O21" i="7"/>
  <c r="E25" i="1" s="1"/>
  <c r="J25" i="1" s="1"/>
  <c r="V10" i="5"/>
  <c r="Q12" i="7"/>
  <c r="G16" i="1" s="1"/>
  <c r="L16" i="1" s="1"/>
  <c r="P19" i="7"/>
  <c r="U14" i="5"/>
  <c r="U13" i="5"/>
  <c r="P15" i="7"/>
  <c r="F19" i="1" s="1"/>
  <c r="K19" i="1" s="1"/>
  <c r="C16" i="1"/>
  <c r="H16" i="1" s="1"/>
  <c r="I22" i="2"/>
  <c r="I24" i="2" s="1"/>
  <c r="Q19" i="7"/>
  <c r="V14" i="5"/>
  <c r="C23" i="1"/>
  <c r="H23" i="1" s="1"/>
  <c r="C14" i="5"/>
  <c r="I36" i="2"/>
  <c r="I38" i="2" s="1"/>
  <c r="C19" i="1"/>
  <c r="H19" i="1" s="1"/>
  <c r="C13" i="5"/>
  <c r="D32" i="2"/>
  <c r="I32" i="2" s="1"/>
  <c r="I34" i="2" s="1"/>
  <c r="S13" i="5"/>
  <c r="U16" i="5"/>
  <c r="P21" i="7"/>
  <c r="F25" i="1" s="1"/>
  <c r="K25" i="1" s="1"/>
  <c r="K27" i="2"/>
  <c r="S14" i="5"/>
  <c r="N19" i="7"/>
  <c r="J36" i="2" s="1"/>
  <c r="M13" i="5"/>
  <c r="M11" i="5"/>
  <c r="M14" i="5"/>
  <c r="G12" i="5"/>
  <c r="Q12" i="5" s="1"/>
  <c r="D25" i="2"/>
  <c r="D27" i="2"/>
  <c r="I27" i="2"/>
  <c r="G23" i="1"/>
  <c r="L23" i="1"/>
  <c r="M36" i="2"/>
  <c r="H36" i="2" s="1"/>
  <c r="H38" i="2" s="1"/>
  <c r="G14" i="5"/>
  <c r="Q14" i="5" s="1"/>
  <c r="L36" i="2"/>
  <c r="F23" i="1"/>
  <c r="K23" i="1"/>
  <c r="F14" i="5"/>
  <c r="P14" i="5" s="1"/>
  <c r="M22" i="2"/>
  <c r="H22" i="2" s="1"/>
  <c r="H24" i="2" s="1"/>
  <c r="G10" i="5"/>
  <c r="Q10" i="5" s="1"/>
  <c r="D14" i="5"/>
  <c r="N14" i="5" s="1"/>
  <c r="G32" i="2"/>
  <c r="G34" i="2" s="1"/>
  <c r="F13" i="5"/>
  <c r="E16" i="5"/>
  <c r="O16" i="5" s="1"/>
  <c r="K42" i="2"/>
  <c r="K44" i="2" s="1"/>
  <c r="P13" i="5"/>
  <c r="M24" i="2"/>
  <c r="F42" i="2"/>
  <c r="L32" i="2"/>
  <c r="L34" i="2" s="1"/>
  <c r="G36" i="2"/>
  <c r="G38" i="2" s="1"/>
  <c r="L38" i="2"/>
  <c r="E42" i="2" l="1"/>
  <c r="E44" i="2" s="1"/>
  <c r="J44" i="2"/>
  <c r="L42" i="2"/>
  <c r="Q21" i="7"/>
  <c r="F16" i="5"/>
  <c r="P16" i="5" s="1"/>
  <c r="D16" i="5"/>
  <c r="N16" i="5" s="1"/>
  <c r="I39" i="2"/>
  <c r="I41" i="2" s="1"/>
  <c r="O41" i="2" s="1"/>
  <c r="E36" i="2"/>
  <c r="E38" i="2" s="1"/>
  <c r="J38" i="2"/>
  <c r="M38" i="2"/>
  <c r="O19" i="7"/>
  <c r="D23" i="1"/>
  <c r="I23" i="1" s="1"/>
  <c r="D13" i="5"/>
  <c r="N13" i="5" s="1"/>
  <c r="E32" i="2"/>
  <c r="D19" i="1"/>
  <c r="I19" i="1" s="1"/>
  <c r="D34" i="2"/>
  <c r="O15" i="7"/>
  <c r="Q15" i="7"/>
  <c r="I35" i="2"/>
  <c r="D18" i="1"/>
  <c r="I18" i="1" s="1"/>
  <c r="E29" i="2"/>
  <c r="D12" i="5"/>
  <c r="N12" i="5" s="1"/>
  <c r="M29" i="2"/>
  <c r="M31" i="2" s="1"/>
  <c r="H31" i="2"/>
  <c r="G18" i="1"/>
  <c r="L18" i="1" s="1"/>
  <c r="D31" i="2"/>
  <c r="F29" i="2"/>
  <c r="C12" i="5"/>
  <c r="M12" i="5" s="1"/>
  <c r="G29" i="2"/>
  <c r="F12" i="5"/>
  <c r="P12" i="5" s="1"/>
  <c r="E12" i="5"/>
  <c r="O12" i="5" s="1"/>
  <c r="D17" i="1"/>
  <c r="I17" i="1" s="1"/>
  <c r="D11" i="5"/>
  <c r="N11" i="5" s="1"/>
  <c r="J25" i="2"/>
  <c r="G11" i="5"/>
  <c r="Q11" i="5" s="1"/>
  <c r="M25" i="2"/>
  <c r="G17" i="1"/>
  <c r="L17" i="1" s="1"/>
  <c r="G25" i="2"/>
  <c r="G27" i="2" s="1"/>
  <c r="L27" i="2"/>
  <c r="F11" i="5"/>
  <c r="P11" i="5" s="1"/>
  <c r="E11" i="5"/>
  <c r="O11" i="5" s="1"/>
  <c r="V11" i="5"/>
  <c r="I28" i="2"/>
  <c r="F10" i="5"/>
  <c r="P10" i="5" s="1"/>
  <c r="F16" i="1"/>
  <c r="K16" i="1" s="1"/>
  <c r="L22" i="2"/>
  <c r="D22" i="2"/>
  <c r="D24" i="2" s="1"/>
  <c r="O12" i="7"/>
  <c r="N12" i="7"/>
  <c r="G25" i="1" l="1"/>
  <c r="L25" i="1" s="1"/>
  <c r="M42" i="2"/>
  <c r="G16" i="5"/>
  <c r="Q16" i="5" s="1"/>
  <c r="J45" i="2"/>
  <c r="G42" i="2"/>
  <c r="G44" i="2" s="1"/>
  <c r="G45" i="2" s="1"/>
  <c r="L44" i="2"/>
  <c r="L45" i="2" s="1"/>
  <c r="J42" i="15"/>
  <c r="J45" i="15" s="1"/>
  <c r="Q41" i="2"/>
  <c r="C42" i="15"/>
  <c r="C45" i="15" s="1"/>
  <c r="G42" i="15"/>
  <c r="G45" i="15" s="1"/>
  <c r="C12" i="2"/>
  <c r="E12" i="2" s="1"/>
  <c r="I12" i="2" s="1"/>
  <c r="H42" i="15"/>
  <c r="H45" i="15" s="1"/>
  <c r="L42" i="15"/>
  <c r="L45" i="15" s="1"/>
  <c r="K42" i="15"/>
  <c r="K45" i="15" s="1"/>
  <c r="D42" i="15"/>
  <c r="D45" i="15" s="1"/>
  <c r="E42" i="15"/>
  <c r="E45" i="15" s="1"/>
  <c r="M42" i="15"/>
  <c r="M45" i="15" s="1"/>
  <c r="F42" i="15"/>
  <c r="F45" i="15" s="1"/>
  <c r="B42" i="15"/>
  <c r="I42" i="15"/>
  <c r="I45" i="15" s="1"/>
  <c r="I45" i="2"/>
  <c r="I46" i="2" s="1"/>
  <c r="K36" i="2"/>
  <c r="E14" i="5"/>
  <c r="O14" i="5" s="1"/>
  <c r="E23" i="1"/>
  <c r="J23" i="1" s="1"/>
  <c r="E45" i="2"/>
  <c r="H32" i="2"/>
  <c r="G19" i="1"/>
  <c r="L19" i="1" s="1"/>
  <c r="G13" i="5"/>
  <c r="Q13" i="5" s="1"/>
  <c r="E19" i="1"/>
  <c r="J19" i="1" s="1"/>
  <c r="F32" i="2"/>
  <c r="E13" i="5"/>
  <c r="O13" i="5" s="1"/>
  <c r="J32" i="2"/>
  <c r="J34" i="2" s="1"/>
  <c r="E34" i="2"/>
  <c r="F31" i="2"/>
  <c r="K29" i="2"/>
  <c r="K31" i="2" s="1"/>
  <c r="D35" i="2"/>
  <c r="L29" i="2"/>
  <c r="L31" i="2" s="1"/>
  <c r="L35" i="2" s="1"/>
  <c r="G31" i="2"/>
  <c r="G35" i="2" s="1"/>
  <c r="J29" i="2"/>
  <c r="J31" i="2" s="1"/>
  <c r="E31" i="2"/>
  <c r="E35" i="2" s="1"/>
  <c r="J27" i="2"/>
  <c r="E25" i="2"/>
  <c r="E27" i="2" s="1"/>
  <c r="M27" i="2"/>
  <c r="M28" i="2" s="1"/>
  <c r="H25" i="2"/>
  <c r="H27" i="2" s="1"/>
  <c r="H28" i="2" s="1"/>
  <c r="D28" i="2"/>
  <c r="D10" i="5"/>
  <c r="N10" i="5" s="1"/>
  <c r="J22" i="2"/>
  <c r="D16" i="1"/>
  <c r="I16" i="1" s="1"/>
  <c r="K22" i="2"/>
  <c r="E16" i="1"/>
  <c r="J16" i="1" s="1"/>
  <c r="E10" i="5"/>
  <c r="O10" i="5" s="1"/>
  <c r="L24" i="2"/>
  <c r="L28" i="2" s="1"/>
  <c r="G22" i="2"/>
  <c r="G24" i="2" s="1"/>
  <c r="G28" i="2" s="1"/>
  <c r="M44" i="2" l="1"/>
  <c r="H42" i="2"/>
  <c r="H44" i="2" s="1"/>
  <c r="B45" i="15"/>
  <c r="N42" i="15"/>
  <c r="N45" i="15" s="1"/>
  <c r="K38" i="2"/>
  <c r="F36" i="2"/>
  <c r="F38" i="2" s="1"/>
  <c r="K35" i="2"/>
  <c r="F35" i="2"/>
  <c r="F34" i="2"/>
  <c r="K32" i="2"/>
  <c r="K34" i="2" s="1"/>
  <c r="O34" i="2" s="1"/>
  <c r="H34" i="2"/>
  <c r="H35" i="2" s="1"/>
  <c r="M32" i="2"/>
  <c r="M34" i="2" s="1"/>
  <c r="M35" i="2" s="1"/>
  <c r="D46" i="2"/>
  <c r="G46" i="2"/>
  <c r="L46" i="2"/>
  <c r="J35" i="2"/>
  <c r="O31" i="2"/>
  <c r="N31" i="2"/>
  <c r="N27" i="2"/>
  <c r="O27" i="2"/>
  <c r="J24" i="2"/>
  <c r="E22" i="2"/>
  <c r="E24" i="2" s="1"/>
  <c r="K24" i="2"/>
  <c r="K28" i="2" s="1"/>
  <c r="F22" i="2"/>
  <c r="F24" i="2" s="1"/>
  <c r="F28" i="2" s="1"/>
  <c r="H45" i="2" l="1"/>
  <c r="H46" i="2" s="1"/>
  <c r="N44" i="2"/>
  <c r="Q44" i="2" s="1"/>
  <c r="O44" i="2"/>
  <c r="M45" i="2"/>
  <c r="M46" i="2" s="1"/>
  <c r="F45" i="2"/>
  <c r="F46" i="2" s="1"/>
  <c r="N38" i="2"/>
  <c r="K45" i="2"/>
  <c r="O38" i="2"/>
  <c r="K46" i="2"/>
  <c r="N34" i="2"/>
  <c r="Q34" i="2" s="1"/>
  <c r="O35" i="2"/>
  <c r="J20" i="15" s="1"/>
  <c r="J23" i="15" s="1"/>
  <c r="Q31" i="2"/>
  <c r="H20" i="15"/>
  <c r="H23" i="15" s="1"/>
  <c r="M20" i="15"/>
  <c r="M23" i="15" s="1"/>
  <c r="C10" i="2"/>
  <c r="Q27" i="2"/>
  <c r="J28" i="2"/>
  <c r="J46" i="2" s="1"/>
  <c r="O24" i="2"/>
  <c r="O28" i="2" s="1"/>
  <c r="E28" i="2"/>
  <c r="E46" i="2" s="1"/>
  <c r="N24" i="2"/>
  <c r="F31" i="15" l="1"/>
  <c r="F34" i="15" s="1"/>
  <c r="L31" i="15"/>
  <c r="L34" i="15" s="1"/>
  <c r="N45" i="2"/>
  <c r="J31" i="15"/>
  <c r="J34" i="15" s="1"/>
  <c r="B11" i="2"/>
  <c r="M31" i="15"/>
  <c r="M34" i="15" s="1"/>
  <c r="E31" i="15"/>
  <c r="E34" i="15" s="1"/>
  <c r="C31" i="15"/>
  <c r="C34" i="15" s="1"/>
  <c r="D31" i="15"/>
  <c r="D34" i="15" s="1"/>
  <c r="I31" i="15"/>
  <c r="I34" i="15" s="1"/>
  <c r="B31" i="15"/>
  <c r="K31" i="15"/>
  <c r="K34" i="15" s="1"/>
  <c r="H31" i="15"/>
  <c r="H34" i="15" s="1"/>
  <c r="Q38" i="2"/>
  <c r="Q45" i="2" s="1"/>
  <c r="G31" i="15"/>
  <c r="G34" i="15" s="1"/>
  <c r="C11" i="2"/>
  <c r="O45" i="2"/>
  <c r="O46" i="2" s="1"/>
  <c r="L20" i="15"/>
  <c r="L23" i="15" s="1"/>
  <c r="I20" i="15"/>
  <c r="I23" i="15" s="1"/>
  <c r="F20" i="15"/>
  <c r="F23" i="15" s="1"/>
  <c r="E20" i="15"/>
  <c r="E23" i="15" s="1"/>
  <c r="K20" i="15"/>
  <c r="K23" i="15" s="1"/>
  <c r="Q35" i="2"/>
  <c r="G20" i="15"/>
  <c r="G23" i="15" s="1"/>
  <c r="N35" i="2"/>
  <c r="D20" i="15" s="1"/>
  <c r="D23" i="15" s="1"/>
  <c r="C20" i="15"/>
  <c r="B10" i="2"/>
  <c r="E10" i="2" s="1"/>
  <c r="I10" i="2" s="1"/>
  <c r="N28" i="2"/>
  <c r="Q24" i="2"/>
  <c r="Q28" i="2" s="1"/>
  <c r="L9" i="15"/>
  <c r="L12" i="15" s="1"/>
  <c r="J9" i="15"/>
  <c r="J12" i="15" s="1"/>
  <c r="M9" i="15"/>
  <c r="M12" i="15" s="1"/>
  <c r="H9" i="15"/>
  <c r="H12" i="15" s="1"/>
  <c r="E9" i="15"/>
  <c r="E12" i="15" s="1"/>
  <c r="C9" i="2"/>
  <c r="I9" i="15"/>
  <c r="I12" i="15" s="1"/>
  <c r="G9" i="15"/>
  <c r="G12" i="15" s="1"/>
  <c r="F9" i="15"/>
  <c r="F12" i="15" s="1"/>
  <c r="K9" i="15"/>
  <c r="K12" i="15" s="1"/>
  <c r="E11" i="2" l="1"/>
  <c r="I11" i="2" s="1"/>
  <c r="C13" i="2"/>
  <c r="N31" i="15"/>
  <c r="N34" i="15" s="1"/>
  <c r="B34" i="15"/>
  <c r="Q46" i="2"/>
  <c r="C23" i="15"/>
  <c r="N20" i="15"/>
  <c r="N23" i="15" s="1"/>
  <c r="C9" i="15"/>
  <c r="B9" i="2"/>
  <c r="N46" i="2"/>
  <c r="D9" i="15"/>
  <c r="D12" i="15" s="1"/>
  <c r="E9" i="2" l="1"/>
  <c r="B13" i="2"/>
  <c r="N9" i="15"/>
  <c r="N12" i="15" s="1"/>
  <c r="C12" i="15"/>
  <c r="E13" i="2" l="1"/>
  <c r="I9" i="2"/>
  <c r="I13" i="2" s="1"/>
</calcChain>
</file>

<file path=xl/comments1.xml><?xml version="1.0" encoding="utf-8"?>
<comments xmlns="http://schemas.openxmlformats.org/spreadsheetml/2006/main">
  <authors>
    <author>Rojas Carlos, EP. Encargado Planes</author>
  </authors>
  <commentList>
    <comment ref="W77" authorId="0" shapeId="0">
      <text>
        <r>
          <rPr>
            <b/>
            <sz val="9"/>
            <color indexed="81"/>
            <rFont val="Tahoma"/>
            <family val="2"/>
          </rPr>
          <t>Rojas Carlos, EP. Encargado Planes:</t>
        </r>
        <r>
          <rPr>
            <sz val="9"/>
            <color indexed="81"/>
            <rFont val="Tahoma"/>
            <family val="2"/>
          </rPr>
          <t xml:space="preserve">
Gastos de reparación  de vehículos.</t>
        </r>
      </text>
    </comment>
    <comment ref="W79" authorId="0" shapeId="0">
      <text>
        <r>
          <rPr>
            <b/>
            <sz val="9"/>
            <color indexed="81"/>
            <rFont val="Tahoma"/>
            <family val="2"/>
          </rPr>
          <t>Rojas Carlos, EP. Encargado Planes:</t>
        </r>
        <r>
          <rPr>
            <sz val="9"/>
            <color indexed="81"/>
            <rFont val="Tahoma"/>
            <family val="2"/>
          </rPr>
          <t xml:space="preserve">
Esta Cuenta considerara  gasto por Compra de Insumos computacionales y  otros materiales de uso consumo corriente.
</t>
        </r>
      </text>
    </comment>
  </commentList>
</comments>
</file>

<file path=xl/sharedStrings.xml><?xml version="1.0" encoding="utf-8"?>
<sst xmlns="http://schemas.openxmlformats.org/spreadsheetml/2006/main" count="1233" uniqueCount="457">
  <si>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</si>
  <si>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</si>
  <si>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</si>
  <si>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</si>
  <si>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</si>
  <si>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</si>
  <si>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</si>
  <si>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</si>
  <si>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</si>
  <si>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</si>
  <si>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</si>
  <si>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</si>
  <si>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</si>
  <si>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</si>
  <si>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</si>
  <si>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</si>
  <si>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</si>
  <si>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</si>
  <si>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</si>
  <si>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</si>
  <si>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</si>
  <si>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</si>
  <si>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</si>
  <si>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</si>
  <si>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</si>
  <si>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</si>
  <si>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</si>
  <si>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</si>
  <si>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</si>
  <si>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</si>
  <si>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</si>
  <si>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</si>
  <si>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</si>
  <si>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</si>
  <si>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</si>
  <si>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</si>
  <si>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</si>
  <si>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</si>
  <si>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</si>
  <si>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</si>
  <si>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</si>
  <si>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</si>
  <si>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</si>
  <si>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</si>
  <si>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</si>
  <si>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</si>
  <si>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</si>
  <si>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</si>
  <si>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</si>
  <si>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</si>
  <si>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</si>
  <si>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</si>
  <si>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</si>
  <si>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</si>
  <si>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</si>
  <si>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</si>
  <si>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</si>
  <si>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</si>
  <si>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</si>
  <si>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</si>
  <si>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</si>
  <si>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</si>
  <si>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</si>
  <si>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</si>
  <si>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</si>
  <si>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</si>
  <si>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</si>
  <si>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</si>
  <si>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</si>
  <si>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</si>
  <si>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</si>
  <si>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</si>
  <si>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</si>
  <si>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</si>
  <si>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</si>
  <si>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</si>
  <si>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</si>
  <si>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</si>
  <si>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</si>
  <si>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</si>
  <si>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</si>
  <si>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</si>
  <si>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</si>
  <si>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</si>
  <si>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</si>
  <si>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</si>
  <si>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</si>
  <si>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</si>
  <si>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</si>
  <si>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</si>
  <si>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</si>
  <si>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</si>
  <si>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</si>
  <si>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</si>
  <si>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</si>
  <si>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</si>
  <si>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</si>
  <si>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</si>
  <si>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</si>
  <si>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</si>
  <si>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</si>
  <si>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</si>
  <si>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</si>
  <si>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</si>
  <si>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</si>
  <si>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</si>
  <si>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</si>
  <si>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</si>
  <si>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</si>
  <si>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</si>
  <si>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</si>
  <si>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</si>
  <si>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</si>
  <si>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</si>
  <si>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</si>
  <si>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</si>
  <si>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</si>
  <si>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</si>
  <si>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</si>
  <si>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</si>
  <si>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</si>
  <si>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</si>
  <si>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</si>
  <si>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</si>
  <si>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</si>
  <si>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</si>
  <si>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</si>
  <si>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</si>
  <si>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</si>
  <si>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</si>
  <si>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</si>
  <si>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</si>
  <si>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</si>
  <si>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Media Jornada</t>
  </si>
  <si>
    <t>Jardines Infantiles</t>
  </si>
  <si>
    <t>Salas Cunas</t>
  </si>
  <si>
    <t>PDI</t>
  </si>
  <si>
    <t>GENDARMERIA</t>
  </si>
  <si>
    <t>ÁREA APOYO A. EDUCACIONAL</t>
  </si>
  <si>
    <t>Nocturna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</si>
  <si>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</si>
  <si>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</si>
  <si>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</si>
  <si>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</si>
  <si>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</si>
  <si>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</si>
  <si>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</si>
  <si>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</si>
  <si>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</si>
  <si>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</si>
  <si>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</si>
  <si>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</si>
  <si>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</si>
  <si>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</si>
  <si>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</si>
  <si>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</si>
  <si>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</si>
  <si>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</si>
  <si>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</si>
  <si>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</si>
  <si>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</si>
  <si>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</si>
  <si>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</si>
  <si>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</si>
  <si>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</si>
  <si>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</si>
  <si>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</si>
  <si>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</si>
  <si>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</si>
  <si>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</si>
  <si>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</si>
  <si>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</si>
  <si>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</si>
  <si>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</si>
  <si>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</si>
  <si>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</si>
  <si>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</si>
  <si>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</si>
  <si>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</si>
  <si>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</si>
  <si>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</si>
  <si>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</si>
  <si>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</si>
  <si>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</si>
  <si>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</si>
  <si>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</si>
  <si>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</si>
  <si>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</si>
  <si>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</si>
  <si>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</si>
  <si>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</si>
  <si>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</si>
  <si>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</si>
  <si>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</si>
  <si>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</si>
  <si>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</si>
  <si>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</si>
  <si>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</si>
  <si>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</si>
  <si>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</si>
  <si>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</si>
  <si>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</si>
  <si>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</si>
  <si>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</si>
  <si>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</si>
  <si>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</si>
  <si>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</si>
  <si>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</si>
  <si>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</si>
  <si>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Jardín Infantil Tortuguita Marina</t>
  </si>
  <si>
    <t xml:space="preserve">Doble Jornada </t>
  </si>
  <si>
    <t>Sala Cuna Burbujitas de Mar</t>
  </si>
  <si>
    <t>Jornada Completa Diurna</t>
  </si>
  <si>
    <t>Sala Cuna Burbujitas de Mar Diurna</t>
  </si>
  <si>
    <t>Sala Cuna Burbujitas de Mar Nocturna</t>
  </si>
  <si>
    <t xml:space="preserve">C) ESTIMACION DE COSTOS DIRECTOS </t>
  </si>
  <si>
    <t>Jardín Infantil Burbujitas de Mar</t>
  </si>
  <si>
    <t>Jornada  Completa</t>
  </si>
  <si>
    <t>Gasto Total empresa</t>
  </si>
  <si>
    <t>SCN (20%)</t>
  </si>
  <si>
    <t>PRODUCTOS QUIMICOS (EXTINTOR)</t>
  </si>
  <si>
    <t>PROD.QUIMIC,FARMACEUTICOS IND. (BOTIQUIN)</t>
  </si>
  <si>
    <t>OTROS MANTEN. Y REP.MENORES</t>
  </si>
  <si>
    <t>CUOTA DE PADRES</t>
  </si>
  <si>
    <t xml:space="preserve"> </t>
  </si>
  <si>
    <t xml:space="preserve"> COSTOS DIRECTOS COMUNES  "BURBUJITAS DE MAR"</t>
  </si>
  <si>
    <t>AFL</t>
  </si>
  <si>
    <t>PAF</t>
  </si>
  <si>
    <t>JI
 (20%)</t>
  </si>
  <si>
    <t>SCD 
(60%)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</si>
  <si>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</si>
  <si>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</si>
  <si>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</si>
  <si>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</si>
  <si>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</si>
  <si>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</si>
  <si>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</si>
  <si>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</si>
  <si>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</si>
  <si>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</si>
  <si>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</si>
  <si>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</si>
  <si>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</si>
  <si>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</si>
  <si>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</si>
  <si>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</si>
  <si>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</si>
  <si>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</si>
  <si>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</si>
  <si>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</si>
  <si>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</si>
  <si>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Jardín Infantil Burbujita de Mar</t>
  </si>
  <si>
    <t>Sala Cuna Burbujita de Mar</t>
  </si>
  <si>
    <t>BIENTALC</t>
  </si>
  <si>
    <t>Sala Cuna Brurbujita de Mar Diurna</t>
  </si>
  <si>
    <t>Sala Cuna Brurbujita de Mar Nocturna</t>
  </si>
  <si>
    <t>Mensualidad 2025</t>
  </si>
  <si>
    <t>Tarifa 2026</t>
  </si>
  <si>
    <t>Matrícula 2026</t>
  </si>
  <si>
    <t>Mensualidad 2026</t>
  </si>
  <si>
    <t>Meta Ocupación niños 2026</t>
  </si>
  <si>
    <t>Propuesta Mensualidad 2026</t>
  </si>
  <si>
    <t>COSTO DIRECTO ESTIMADO 2026</t>
  </si>
  <si>
    <t>REMUNERACIONES 2025</t>
  </si>
  <si>
    <t>Costo Total anual por Servidor 2025</t>
  </si>
  <si>
    <t>Costo Total por Servidor Reajustado 2026</t>
  </si>
  <si>
    <t>COSTO INDIRECTO ESTIMADO 2026</t>
  </si>
  <si>
    <t xml:space="preserve">Vera Donoso </t>
  </si>
  <si>
    <t>Tracy Scarlett</t>
  </si>
  <si>
    <t xml:space="preserve">Cartez Medina </t>
  </si>
  <si>
    <t>Elizabeth del Rosario</t>
  </si>
  <si>
    <t xml:space="preserve">Maldonado Burdiles </t>
  </si>
  <si>
    <t>Auxiliar  De Aseo</t>
  </si>
  <si>
    <t>Catalina</t>
  </si>
  <si>
    <t xml:space="preserve">Núñez González </t>
  </si>
  <si>
    <t>Asistente de la Educ.Parvulos</t>
  </si>
  <si>
    <t xml:space="preserve"> Javiera Valentina</t>
  </si>
  <si>
    <t xml:space="preserve">Carrillo Salgado </t>
  </si>
  <si>
    <t>Educadora de Parvulos</t>
  </si>
  <si>
    <t>Marianela Isabel</t>
  </si>
  <si>
    <t>Constanza Stepania</t>
  </si>
  <si>
    <t>Francisca Javiera</t>
  </si>
  <si>
    <t>Yarlin Ivonne</t>
  </si>
  <si>
    <t>Nadia Ana</t>
  </si>
  <si>
    <t>Yenifer Valeska</t>
  </si>
  <si>
    <t>Marta Estella</t>
  </si>
  <si>
    <t>Ysthar Constanza</t>
  </si>
  <si>
    <t xml:space="preserve">Arias Utreras Marianela </t>
  </si>
  <si>
    <t xml:space="preserve">González Andrade </t>
  </si>
  <si>
    <t>Martínez Flores</t>
  </si>
  <si>
    <t xml:space="preserve">Maturana Rojas </t>
  </si>
  <si>
    <t xml:space="preserve">Nuñez Riquelme </t>
  </si>
  <si>
    <t>Opazo Opazo</t>
  </si>
  <si>
    <t xml:space="preserve">Ramírez Alarcón </t>
  </si>
  <si>
    <t xml:space="preserve">Riffo Torres </t>
  </si>
  <si>
    <t xml:space="preserve"> Elsa  Graciela</t>
  </si>
  <si>
    <t>Conztanzo Montecinos</t>
  </si>
  <si>
    <t>Encargada de Ppto. y Area Inst.</t>
  </si>
  <si>
    <t>Administración Central</t>
  </si>
  <si>
    <t>Amelia  Perla</t>
  </si>
  <si>
    <t>Garcia  Arredondo</t>
  </si>
  <si>
    <t>Operadora de Sistemas</t>
  </si>
  <si>
    <t>Erika Katherine</t>
  </si>
  <si>
    <t xml:space="preserve">Groth Vega </t>
  </si>
  <si>
    <t>Encargada de Descuentos</t>
  </si>
  <si>
    <t>Maritza Cristina</t>
  </si>
  <si>
    <t>Mellado Medina</t>
  </si>
  <si>
    <t>XXXXXXXXX</t>
  </si>
  <si>
    <t>Encargada de Cobranza y Sistemas</t>
  </si>
  <si>
    <t>Roxana Isabel</t>
  </si>
  <si>
    <t>Muñoz Cruces</t>
  </si>
  <si>
    <t>Analista de Cuentas</t>
  </si>
  <si>
    <t>Juan Segundo</t>
  </si>
  <si>
    <t>Vasquez Vega</t>
  </si>
  <si>
    <t>Adm. Adquisiciones</t>
  </si>
  <si>
    <t>Maximo Cesar</t>
  </si>
  <si>
    <t>Aravena Bustos</t>
  </si>
  <si>
    <t>Karina Solange</t>
  </si>
  <si>
    <t>Albornoz Nova</t>
  </si>
  <si>
    <t>Administrativo</t>
  </si>
  <si>
    <t>Lilian Andrea</t>
  </si>
  <si>
    <t>Gargia Ponce</t>
  </si>
  <si>
    <t>Encargado Rec. Humanos</t>
  </si>
  <si>
    <t>Macarena Lilian</t>
  </si>
  <si>
    <t>Meriño  Muñoz</t>
  </si>
  <si>
    <t>Richard Abraham</t>
  </si>
  <si>
    <t>Jara Diaz</t>
  </si>
  <si>
    <t>Karem Lorena</t>
  </si>
  <si>
    <t xml:space="preserve">Alarcón Zambrano </t>
  </si>
  <si>
    <t>Encargada de Contratos y Finiq</t>
  </si>
  <si>
    <t>Jorge Gabriel</t>
  </si>
  <si>
    <t>Ramirez Sepulveda</t>
  </si>
  <si>
    <t>Mant. y Cons de Predio</t>
  </si>
  <si>
    <t>Hector David</t>
  </si>
  <si>
    <t>Valencia Coronado</t>
  </si>
  <si>
    <t>Carlos</t>
  </si>
  <si>
    <t>Rojas Solar</t>
  </si>
  <si>
    <t xml:space="preserve"> Planes y Gestión</t>
  </si>
  <si>
    <t>Sylvia Edia</t>
  </si>
  <si>
    <t>Soto Villegas</t>
  </si>
  <si>
    <t>Auditoria Interna</t>
  </si>
  <si>
    <t>Silvana</t>
  </si>
  <si>
    <t>Mena Meriño</t>
  </si>
  <si>
    <t>Prevenc. de Riesgos</t>
  </si>
  <si>
    <t>XXXXXXXXXXX</t>
  </si>
  <si>
    <t>Adm. Contabilidad y Finanzas</t>
  </si>
  <si>
    <t>1) Calculo gasto Alimentacion del personal 2025</t>
  </si>
  <si>
    <t>NR</t>
  </si>
  <si>
    <t>Valor Rac. Proyec.</t>
  </si>
  <si>
    <t>Dias Mes</t>
  </si>
  <si>
    <t>Total C/U</t>
  </si>
  <si>
    <t>DESC.</t>
  </si>
  <si>
    <t>TOTAL  COSTO</t>
  </si>
  <si>
    <t>Total E.P.</t>
  </si>
  <si>
    <t>Total Mes</t>
  </si>
  <si>
    <t>SUB Total  Anual</t>
  </si>
  <si>
    <t>DIST. ADM.</t>
  </si>
  <si>
    <t>RACIONES</t>
  </si>
  <si>
    <t>Sala Cuna Dia</t>
  </si>
  <si>
    <t>20</t>
  </si>
  <si>
    <t>Sala Cuna Nocturna</t>
  </si>
  <si>
    <t>15</t>
  </si>
  <si>
    <t>Jardin Burbujitas</t>
  </si>
  <si>
    <t>modificado según cantidad de personal y solo por 11 meses al año</t>
  </si>
  <si>
    <t>2) Calculo racionamiento Párvulo 2025</t>
  </si>
  <si>
    <t>COMPORTAMIENTO</t>
  </si>
  <si>
    <t>Raciones Salla cuna Dia</t>
  </si>
  <si>
    <t>Raciones Salla cuna Noche</t>
  </si>
  <si>
    <t>Raciones Jardin Infantil</t>
  </si>
  <si>
    <t>ANUAL</t>
  </si>
  <si>
    <t>Anual</t>
  </si>
  <si>
    <t xml:space="preserve">TOTAL RACIONES </t>
  </si>
  <si>
    <t>COSTO UNITARIO</t>
  </si>
  <si>
    <t>Raciones Sala cuna Noche</t>
  </si>
  <si>
    <t>3) Consumos Basicos</t>
  </si>
  <si>
    <t>DEPENDENCIAS SALA CUNA</t>
  </si>
  <si>
    <t>SALA</t>
  </si>
  <si>
    <t>CUNA</t>
  </si>
  <si>
    <t>KW</t>
  </si>
  <si>
    <t>VALOR</t>
  </si>
  <si>
    <t xml:space="preserve">CUNA </t>
  </si>
  <si>
    <t>M3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</si>
  <si>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</si>
  <si>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</si>
  <si>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</si>
  <si>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</si>
  <si>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</si>
  <si>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</si>
  <si>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</si>
  <si>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</si>
  <si>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</si>
  <si>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</si>
  <si>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</si>
  <si>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</si>
  <si>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</si>
  <si>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ta</t>
  </si>
  <si>
    <t>tb</t>
  </si>
  <si>
    <t>total</t>
  </si>
  <si>
    <t xml:space="preserve">4) Se considera servicio de fumigación para ambas instalaciones de  frecuencia mensual y proyectada de acuerdo valor que se cancela </t>
  </si>
  <si>
    <t>5) Notas Generales</t>
  </si>
  <si>
    <t xml:space="preserve">La tarifa considera situación actual referente a personal de Educadoras de Párvulos que pertenecen  a la Institución y  personal contratado </t>
  </si>
  <si>
    <t>en calidad de Personal a Contrata , de  haber  cambios por proceso de trasbordo o la disminución de este tipo de personal para este tipo de</t>
  </si>
  <si>
    <t xml:space="preserve">personal para el Departamento implicaría  incurrir en mayores gastos. </t>
  </si>
  <si>
    <t>COMP. ENERO - AGOSTO</t>
  </si>
  <si>
    <t>Prom. Ocupación  2025 (44)</t>
  </si>
  <si>
    <t>TOTAL GASTO PROY. 2025</t>
  </si>
  <si>
    <t>PROY. SEPT. - DIC</t>
  </si>
  <si>
    <t>Proy. Ocupación  2026 (25)</t>
  </si>
  <si>
    <t>Proy. Ocupación  2026 (42)</t>
  </si>
  <si>
    <t>Proy. Ocupaciób  2026 (28)</t>
  </si>
  <si>
    <t>Prom. Ocupación  2025 (28)</t>
  </si>
  <si>
    <t>PROYECCION 2026</t>
  </si>
  <si>
    <t>XXXXXXXXXXXX</t>
  </si>
  <si>
    <t>Jardín Infantil Montessori</t>
  </si>
  <si>
    <t>Jardín Infantil Montesori</t>
  </si>
  <si>
    <t>Jardín Infantil Encanto de Luna</t>
  </si>
  <si>
    <t>Sala Cuna Encanto de Luna</t>
  </si>
  <si>
    <t>Sala Cuna Montessori</t>
  </si>
  <si>
    <t>Sala Cuna MOntessori</t>
  </si>
  <si>
    <t>actualmente, contrato de servicio es anual y es licitadoa a través de Mercado Público.</t>
  </si>
  <si>
    <t>Zapata Ceballos</t>
  </si>
  <si>
    <t>Directora/Educadora pedag.</t>
  </si>
  <si>
    <t>(TT) Pamela</t>
  </si>
  <si>
    <t>Villa</t>
  </si>
  <si>
    <t>(PAC) Valentina</t>
  </si>
  <si>
    <t>(TT) Leslie</t>
  </si>
  <si>
    <t xml:space="preserve">(EC) Roxana </t>
  </si>
  <si>
    <t>Seguel Carrillo</t>
  </si>
  <si>
    <t>Monares Manzo</t>
  </si>
  <si>
    <t>Educadora de Párvulos</t>
  </si>
  <si>
    <t xml:space="preserve">(TT) Juan </t>
  </si>
  <si>
    <t>Manipulador de alimentos</t>
  </si>
  <si>
    <t>Directora/Educadora de Párv.</t>
  </si>
  <si>
    <t>XXXXXXXXXX (por cambio horario)</t>
  </si>
  <si>
    <t>Flores</t>
  </si>
  <si>
    <t>Muñoz</t>
  </si>
  <si>
    <t>Aguilar Romero</t>
  </si>
  <si>
    <t>Buceta Medina</t>
  </si>
  <si>
    <t>Díaz Figueroa</t>
  </si>
  <si>
    <t>Escobar Castro</t>
  </si>
  <si>
    <t>Aseadora</t>
  </si>
  <si>
    <t>(TT) Katherine</t>
  </si>
  <si>
    <t>(TT) Sandra</t>
  </si>
  <si>
    <t>(TT)María Jesús</t>
  </si>
  <si>
    <t xml:space="preserve">(TT)Alessandra </t>
  </si>
  <si>
    <t>(TT)Margarita</t>
  </si>
  <si>
    <t>(PAC) Francisca</t>
  </si>
  <si>
    <t>Véliz Gutiérrez</t>
  </si>
  <si>
    <t>Yasnarín Andrea</t>
  </si>
  <si>
    <t>Alarcón Muñoz</t>
  </si>
  <si>
    <t xml:space="preserve">( PAC) Elizabeth </t>
  </si>
  <si>
    <t>(TT) Gabriely</t>
  </si>
  <si>
    <t>Hernández Zamorano</t>
  </si>
  <si>
    <t>Soto Ramírez</t>
  </si>
  <si>
    <t>(TT) Victoria</t>
  </si>
  <si>
    <t xml:space="preserve">(TT) Liliana </t>
  </si>
  <si>
    <t>Ramírez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</si>
</sst>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2" formatCode="_ &quot;$&quot;* #,##0_ ;_ &quot;$&quot;* \-#,##0_ ;_ &quot;$&quot;* &quot;-&quot;_ ;_ @_ "/>
    <numFmt numFmtId="41" formatCode="_ * #,##0_ ;_ * \-#,##0_ ;_ * &quot;-&quot;_ ;_ @_ "/>
    <numFmt numFmtId="168" formatCode="_-&quot;$&quot;\ * #,##0_-;\-&quot;$&quot;\ * #,##0_-;_-&quot;$&quot;\ * &quot;-&quot;_-;_-@_-"/>
    <numFmt numFmtId="171" formatCode="_-* #,##0.00_-;\-* #,##0.00_-;_-* &quot;-&quot;??_-;_-@_-"/>
    <numFmt numFmtId="172" formatCode="_-\$* #,##0.00_-;&quot;-$&quot;* #,##0.00_-;_-\$* \-??_-;_-@_-"/>
    <numFmt numFmtId="173" formatCode="\$#,##0_);&quot;($&quot;#,##0\)"/>
    <numFmt numFmtId="174" formatCode="_-&quot;$ &quot;* #,##0_-;&quot;-$ &quot;* #,##0_-;_-&quot;$ &quot;* \-_-;_-@_-"/>
    <numFmt numFmtId="175" formatCode="0\ %"/>
    <numFmt numFmtId="176" formatCode="0.0%"/>
    <numFmt numFmtId="177" formatCode="#,##0_ ;[Red]\-#,##0\ "/>
    <numFmt numFmtId="178" formatCode="_-* #,##0.00_-;\-* #,##0.00_-;_-* \-??_-;_-@_-"/>
    <numFmt numFmtId="179" formatCode="_-\ * #,##0_-;&quot;$ &quot;* #,##0_-;_-\ * \-_-;_-@_-"/>
    <numFmt numFmtId="180" formatCode="_-* #,##0.0_-;\-* #,##0.0_-;_-* \-??_-;_-@_-"/>
    <numFmt numFmtId="181" formatCode="_(* #,##0_);_(* \(#,##0\);_(* \-_);_(@_)"/>
    <numFmt numFmtId="182" formatCode="_-* #,##0_-;\-* #,##0_-;_-* \-??_-;_-@_-"/>
    <numFmt numFmtId="183" formatCode="&quot;$&quot;\ #,##0"/>
    <numFmt numFmtId="184" formatCode="_-&quot;$&quot;* #,##0_-;\-&quot;$&quot;* #,##0_-;_-&quot;$&quot;* &quot;-&quot;??_-;_-@_-"/>
    <numFmt numFmtId="185" formatCode="#,##0_ ;\-#,##0\ "/>
    <numFmt numFmtId="186" formatCode="0.00\ %"/>
    <numFmt numFmtId="187" formatCode="_-\$* #,##0_-;&quot;-$&quot;* #,##0_-;_-\$* \-??_-;_-@_-"/>
    <numFmt numFmtId="188" formatCode="_-[$$-340A]\ * #,##0_-;\-[$$-340A]\ * #,##0_-;_-[$$-340A]\ * &quot;-&quot;??_-;_-@_-"/>
    <numFmt numFmtId="189" formatCode="_-* #,##0.00\ &quot;€&quot;_-;\-* #,##0.00\ &quot;€&quot;_-;_-* &quot;-&quot;??\ &quot;€&quot;_-;_-@_-"/>
    <numFmt numFmtId="190" formatCode="_-[$€]* #,##0.00_-;\-[$€]* #,##0.00_-;_-[$€]* &quot;-&quot;??_-;_-@_-"/>
    <numFmt numFmtId="191" formatCode="_-[$€-2]\ * #,##0.00_-;\-[$€-2]\ * #,##0.00_-;_-[$€-2]\ * &quot;-&quot;??_-"/>
    <numFmt numFmtId="192" formatCode="_-&quot;$&quot;\ * #,##0_-;\-&quot;$&quot;\ * #,##0_-;_-&quot;$&quot;\ * &quot;-&quot;??_-;_-@_-"/>
    <numFmt numFmtId="193" formatCode="_-* #,##0_-;\-* #,##0_-;_-* &quot;-&quot;??_-;_-@_-"/>
  </numFmts>
  <fonts count="45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2"/>
      <color rgb="FF0000CC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Calibri"/>
      <family val="2"/>
      <scheme val="minor"/>
    </font>
    <font>
      <sz val="10"/>
      <color rgb="FFFF0909"/>
      <name val="Arial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000099"/>
      <name val="Arial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6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5" tint="0.39997558519241921"/>
        <bgColor indexed="40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gray125">
        <bgColor theme="3" tint="0.799951170384838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4506668294322"/>
        <bgColor indexed="65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65"/>
      </patternFill>
    </fill>
    <fill>
      <patternFill patternType="gray125">
        <bgColor theme="3" tint="0.39997558519241921"/>
      </patternFill>
    </fill>
    <fill>
      <patternFill patternType="gray125">
        <bgColor theme="5" tint="0.39997558519241921"/>
      </patternFill>
    </fill>
    <fill>
      <patternFill patternType="gray125">
        <bgColor theme="5" tint="0.79998168889431442"/>
      </patternFill>
    </fill>
    <fill>
      <patternFill patternType="solid">
        <fgColor rgb="FFFFFF00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gray125">
        <bgColor theme="4" tint="0.59999389629810485"/>
      </patternFill>
    </fill>
    <fill>
      <patternFill patternType="gray125">
        <bgColor theme="0" tint="-0.14996795556505021"/>
      </patternFill>
    </fill>
    <fill>
      <patternFill patternType="gray125">
        <fgColor indexed="24"/>
        <bgColor theme="4" tint="0.59999389629810485"/>
      </patternFill>
    </fill>
    <fill>
      <patternFill patternType="gray125"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gray125"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24"/>
      </patternFill>
    </fill>
    <fill>
      <patternFill patternType="solid">
        <fgColor rgb="FF69D8FF"/>
        <bgColor indexed="2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26"/>
      </patternFill>
    </fill>
    <fill>
      <patternFill patternType="solid">
        <fgColor theme="0" tint="-0.249977111117893"/>
        <bgColor indexed="4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1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</borders>
  <cellStyleXfs count="3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190" fontId="21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8" fontId="13" fillId="0" borderId="0"/>
    <xf numFmtId="41" fontId="13" fillId="0" borderId="0" applyFont="0" applyFill="0" applyBorder="0" applyAlignment="0" applyProtection="0"/>
    <xf numFmtId="178" fontId="13" fillId="0" borderId="0" applyFill="0" applyBorder="0" applyAlignment="0" applyProtection="0"/>
    <xf numFmtId="171" fontId="28" fillId="0" borderId="0" applyFont="0" applyFill="0" applyBorder="0" applyAlignment="0" applyProtection="0"/>
    <xf numFmtId="172" fontId="13" fillId="0" borderId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72" fontId="13" fillId="0" borderId="0" applyFill="0" applyBorder="0" applyAlignment="0" applyProtection="0"/>
    <xf numFmtId="0" fontId="7" fillId="8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4" fillId="8" borderId="1" applyNumberFormat="0" applyAlignment="0" applyProtection="0"/>
    <xf numFmtId="175" fontId="13" fillId="0" borderId="0"/>
    <xf numFmtId="9" fontId="1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050">
    <xf numFmtId="0" fontId="0" fillId="0" borderId="0" xfId="0"/>
    <xf numFmtId="175" fontId="0" fillId="0" borderId="0" xfId="32" applyFont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174" fontId="12" fillId="9" borderId="0" xfId="20" applyNumberFormat="1" applyFont="1" applyFill="1" applyAlignment="1">
      <alignment vertical="center"/>
    </xf>
    <xf numFmtId="172" fontId="12" fillId="0" borderId="0" xfId="20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74" fontId="12" fillId="0" borderId="0" xfId="0" applyNumberFormat="1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72" fontId="0" fillId="0" borderId="0" xfId="20" applyFont="1" applyAlignment="1">
      <alignment vertical="center"/>
    </xf>
    <xf numFmtId="175" fontId="14" fillId="0" borderId="0" xfId="32" applyFont="1" applyAlignment="1">
      <alignment vertical="center"/>
    </xf>
    <xf numFmtId="180" fontId="0" fillId="0" borderId="0" xfId="16" applyNumberFormat="1" applyFont="1" applyAlignment="1">
      <alignment vertical="center"/>
    </xf>
    <xf numFmtId="0" fontId="0" fillId="14" borderId="0" xfId="0" applyFill="1" applyAlignment="1">
      <alignment horizontal="left" vertical="center"/>
    </xf>
    <xf numFmtId="183" fontId="0" fillId="14" borderId="0" xfId="0" applyNumberFormat="1" applyFill="1" applyAlignment="1">
      <alignment horizontal="right" vertical="center"/>
    </xf>
    <xf numFmtId="0" fontId="0" fillId="14" borderId="0" xfId="0" applyFill="1"/>
    <xf numFmtId="17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83" fontId="0" fillId="0" borderId="0" xfId="0" applyNumberFormat="1" applyAlignment="1">
      <alignment horizontal="right" vertical="center"/>
    </xf>
    <xf numFmtId="183" fontId="12" fillId="14" borderId="0" xfId="0" applyNumberFormat="1" applyFont="1" applyFill="1" applyAlignment="1">
      <alignment horizontal="right" vertical="center"/>
    </xf>
    <xf numFmtId="9" fontId="0" fillId="14" borderId="0" xfId="0" applyNumberFormat="1" applyFill="1" applyAlignment="1">
      <alignment horizontal="center" vertical="center"/>
    </xf>
    <xf numFmtId="183" fontId="0" fillId="0" borderId="0" xfId="0" applyNumberFormat="1"/>
    <xf numFmtId="183" fontId="0" fillId="14" borderId="0" xfId="0" applyNumberFormat="1" applyFill="1"/>
    <xf numFmtId="0" fontId="0" fillId="14" borderId="0" xfId="0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31" fillId="15" borderId="5" xfId="0" applyFont="1" applyFill="1" applyBorder="1" applyAlignment="1">
      <alignment horizontal="center" vertical="center" wrapText="1"/>
    </xf>
    <xf numFmtId="0" fontId="31" fillId="15" borderId="6" xfId="0" applyFont="1" applyFill="1" applyBorder="1" applyAlignment="1">
      <alignment horizontal="center" vertical="center" wrapText="1"/>
    </xf>
    <xf numFmtId="0" fontId="31" fillId="15" borderId="3" xfId="0" applyFont="1" applyFill="1" applyBorder="1" applyAlignment="1">
      <alignment horizontal="center" vertical="center" wrapText="1"/>
    </xf>
    <xf numFmtId="174" fontId="13" fillId="16" borderId="7" xfId="20" applyNumberFormat="1" applyFont="1" applyFill="1" applyBorder="1" applyAlignment="1">
      <alignment vertical="center"/>
    </xf>
    <xf numFmtId="174" fontId="13" fillId="16" borderId="6" xfId="20" applyNumberFormat="1" applyFont="1" applyFill="1" applyBorder="1" applyAlignment="1">
      <alignment vertical="center"/>
    </xf>
    <xf numFmtId="174" fontId="13" fillId="16" borderId="8" xfId="20" applyNumberFormat="1" applyFont="1" applyFill="1" applyBorder="1" applyAlignment="1">
      <alignment vertical="center"/>
    </xf>
    <xf numFmtId="174" fontId="12" fillId="16" borderId="3" xfId="20" applyNumberFormat="1" applyFont="1" applyFill="1" applyBorder="1" applyAlignment="1">
      <alignment vertical="center"/>
    </xf>
    <xf numFmtId="0" fontId="12" fillId="0" borderId="9" xfId="0" applyFont="1" applyBorder="1" applyAlignment="1">
      <alignment vertical="center"/>
    </xf>
    <xf numFmtId="175" fontId="12" fillId="0" borderId="0" xfId="32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32" applyNumberFormat="1" applyFont="1"/>
    <xf numFmtId="0" fontId="12" fillId="0" borderId="0" xfId="0" applyFont="1" applyAlignment="1">
      <alignment horizontal="center"/>
    </xf>
    <xf numFmtId="183" fontId="12" fillId="0" borderId="0" xfId="0" applyNumberFormat="1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174" fontId="31" fillId="17" borderId="3" xfId="0" applyNumberFormat="1" applyFont="1" applyFill="1" applyBorder="1" applyAlignment="1">
      <alignment horizontal="center" vertical="center" wrapText="1"/>
    </xf>
    <xf numFmtId="174" fontId="31" fillId="17" borderId="10" xfId="0" applyNumberFormat="1" applyFont="1" applyFill="1" applyBorder="1" applyAlignment="1">
      <alignment horizontal="center" vertical="center" wrapText="1"/>
    </xf>
    <xf numFmtId="174" fontId="31" fillId="17" borderId="10" xfId="0" applyNumberFormat="1" applyFont="1" applyFill="1" applyBorder="1" applyAlignment="1">
      <alignment horizontal="center" vertical="center" wrapText="1"/>
    </xf>
    <xf numFmtId="0" fontId="31" fillId="17" borderId="2" xfId="0" applyFont="1" applyFill="1" applyBorder="1" applyAlignment="1">
      <alignment horizontal="center" vertical="center" wrapText="1"/>
    </xf>
    <xf numFmtId="0" fontId="12" fillId="18" borderId="11" xfId="0" applyFont="1" applyFill="1" applyBorder="1" applyAlignment="1">
      <alignment horizontal="center" vertical="center" wrapText="1"/>
    </xf>
    <xf numFmtId="174" fontId="13" fillId="19" borderId="3" xfId="20" applyNumberFormat="1" applyFont="1" applyFill="1" applyBorder="1" applyAlignment="1">
      <alignment vertical="center"/>
    </xf>
    <xf numFmtId="174" fontId="13" fillId="19" borderId="3" xfId="20" applyNumberFormat="1" applyFont="1" applyFill="1" applyBorder="1" applyAlignment="1">
      <alignment vertical="center"/>
    </xf>
    <xf numFmtId="174" fontId="12" fillId="19" borderId="12" xfId="2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83" fontId="12" fillId="20" borderId="11" xfId="0" applyNumberFormat="1" applyFont="1" applyFill="1" applyBorder="1" applyAlignment="1">
      <alignment horizontal="center" vertical="center"/>
    </xf>
    <xf numFmtId="176" fontId="12" fillId="16" borderId="11" xfId="32" applyNumberFormat="1" applyFont="1" applyFill="1" applyBorder="1" applyAlignment="1">
      <alignment horizontal="center" vertical="center"/>
    </xf>
    <xf numFmtId="183" fontId="0" fillId="20" borderId="11" xfId="0" applyNumberFormat="1" applyFill="1" applyBorder="1" applyAlignment="1">
      <alignment horizontal="center" vertical="center"/>
    </xf>
    <xf numFmtId="174" fontId="13" fillId="19" borderId="2" xfId="20" applyNumberFormat="1" applyFont="1" applyFill="1" applyBorder="1" applyAlignment="1">
      <alignment vertical="center"/>
    </xf>
    <xf numFmtId="174" fontId="12" fillId="0" borderId="3" xfId="20" applyNumberFormat="1" applyFont="1" applyBorder="1" applyAlignment="1">
      <alignment vertical="center"/>
    </xf>
    <xf numFmtId="174" fontId="13" fillId="19" borderId="3" xfId="20" applyNumberFormat="1" applyFont="1" applyFill="1" applyBorder="1" applyAlignment="1">
      <alignment vertical="center"/>
    </xf>
    <xf numFmtId="175" fontId="32" fillId="16" borderId="144" xfId="32" applyFont="1" applyFill="1" applyBorder="1" applyAlignment="1">
      <alignment horizontal="center" vertical="center"/>
    </xf>
    <xf numFmtId="174" fontId="18" fillId="13" borderId="14" xfId="20" applyNumberFormat="1" applyFont="1" applyFill="1" applyBorder="1" applyAlignment="1">
      <alignment vertical="center"/>
    </xf>
    <xf numFmtId="174" fontId="18" fillId="13" borderId="15" xfId="20" applyNumberFormat="1" applyFont="1" applyFill="1" applyBorder="1" applyAlignment="1">
      <alignment vertical="center"/>
    </xf>
    <xf numFmtId="184" fontId="0" fillId="0" borderId="0" xfId="20" applyNumberFormat="1" applyFont="1" applyAlignment="1">
      <alignment vertical="center"/>
    </xf>
    <xf numFmtId="184" fontId="0" fillId="0" borderId="0" xfId="20" applyNumberFormat="1" applyFont="1"/>
    <xf numFmtId="0" fontId="0" fillId="21" borderId="16" xfId="0" applyFill="1" applyBorder="1" applyAlignment="1" applyProtection="1">
      <alignment horizontal="left" vertical="center"/>
      <protection locked="0"/>
    </xf>
    <xf numFmtId="0" fontId="0" fillId="21" borderId="17" xfId="0" applyFill="1" applyBorder="1" applyAlignment="1" applyProtection="1">
      <alignment horizontal="left" vertical="center"/>
      <protection locked="0"/>
    </xf>
    <xf numFmtId="0" fontId="0" fillId="21" borderId="18" xfId="0" applyFill="1" applyBorder="1" applyAlignment="1" applyProtection="1">
      <alignment horizontal="left" vertical="center"/>
      <protection locked="0"/>
    </xf>
    <xf numFmtId="0" fontId="0" fillId="21" borderId="19" xfId="0" applyFill="1" applyBorder="1" applyAlignment="1" applyProtection="1">
      <alignment horizontal="left" vertical="center"/>
      <protection locked="0"/>
    </xf>
    <xf numFmtId="0" fontId="0" fillId="21" borderId="19" xfId="0" applyFill="1" applyBorder="1" applyProtection="1">
      <protection locked="0"/>
    </xf>
    <xf numFmtId="175" fontId="13" fillId="0" borderId="11" xfId="32" applyBorder="1" applyAlignment="1">
      <alignment horizontal="center" vertical="center"/>
    </xf>
    <xf numFmtId="175" fontId="13" fillId="0" borderId="0" xfId="32" applyAlignment="1">
      <alignment horizontal="center" vertical="center"/>
    </xf>
    <xf numFmtId="175" fontId="12" fillId="18" borderId="11" xfId="32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174" fontId="12" fillId="22" borderId="20" xfId="0" applyNumberFormat="1" applyFont="1" applyFill="1" applyBorder="1" applyAlignment="1">
      <alignment horizontal="center" vertical="center" wrapText="1"/>
    </xf>
    <xf numFmtId="174" fontId="12" fillId="22" borderId="21" xfId="0" applyNumberFormat="1" applyFont="1" applyFill="1" applyBorder="1" applyAlignment="1">
      <alignment horizontal="center" vertical="center" wrapText="1"/>
    </xf>
    <xf numFmtId="174" fontId="13" fillId="19" borderId="10" xfId="20" applyNumberFormat="1" applyFont="1" applyFill="1" applyBorder="1" applyAlignment="1">
      <alignment vertical="center"/>
    </xf>
    <xf numFmtId="174" fontId="12" fillId="19" borderId="22" xfId="20" applyNumberFormat="1" applyFont="1" applyFill="1" applyBorder="1" applyAlignment="1">
      <alignment vertical="center"/>
    </xf>
    <xf numFmtId="0" fontId="33" fillId="0" borderId="0" xfId="0" applyFont="1" applyAlignment="1">
      <alignment horizontal="center" vertical="center" wrapText="1"/>
    </xf>
    <xf numFmtId="175" fontId="34" fillId="0" borderId="0" xfId="32" applyFont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35" fillId="14" borderId="0" xfId="0" applyFont="1" applyFill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31" fillId="0" borderId="0" xfId="0" applyFont="1" applyAlignment="1">
      <alignment horizontal="center" vertical="center"/>
    </xf>
    <xf numFmtId="0" fontId="0" fillId="21" borderId="23" xfId="0" applyFill="1" applyBorder="1" applyAlignment="1" applyProtection="1">
      <alignment horizontal="left" vertical="center"/>
      <protection locked="0"/>
    </xf>
    <xf numFmtId="0" fontId="0" fillId="21" borderId="23" xfId="0" applyFill="1" applyBorder="1" applyProtection="1">
      <protection locked="0"/>
    </xf>
    <xf numFmtId="0" fontId="0" fillId="21" borderId="24" xfId="0" applyFill="1" applyBorder="1" applyProtection="1">
      <protection locked="0"/>
    </xf>
    <xf numFmtId="0" fontId="0" fillId="21" borderId="11" xfId="0" applyFill="1" applyBorder="1" applyAlignment="1" applyProtection="1">
      <alignment horizontal="left" vertical="center"/>
      <protection locked="0"/>
    </xf>
    <xf numFmtId="0" fontId="0" fillId="21" borderId="11" xfId="0" applyFill="1" applyBorder="1" applyProtection="1">
      <protection locked="0"/>
    </xf>
    <xf numFmtId="183" fontId="0" fillId="0" borderId="25" xfId="0" applyNumberFormat="1" applyBorder="1" applyAlignment="1">
      <alignment horizontal="right" vertical="center"/>
    </xf>
    <xf numFmtId="183" fontId="0" fillId="0" borderId="26" xfId="0" applyNumberFormat="1" applyBorder="1" applyAlignment="1">
      <alignment horizontal="right" vertical="center"/>
    </xf>
    <xf numFmtId="183" fontId="0" fillId="0" borderId="27" xfId="0" applyNumberFormat="1" applyBorder="1" applyAlignment="1">
      <alignment horizontal="right" vertical="center"/>
    </xf>
    <xf numFmtId="184" fontId="13" fillId="21" borderId="24" xfId="20" applyNumberFormat="1" applyFont="1" applyFill="1" applyBorder="1" applyAlignment="1" applyProtection="1">
      <alignment vertical="center"/>
      <protection locked="0"/>
    </xf>
    <xf numFmtId="183" fontId="0" fillId="19" borderId="27" xfId="0" applyNumberFormat="1" applyFill="1" applyBorder="1" applyAlignment="1">
      <alignment horizontal="right" vertical="center"/>
    </xf>
    <xf numFmtId="183" fontId="0" fillId="0" borderId="28" xfId="0" applyNumberFormat="1" applyBorder="1" applyAlignment="1">
      <alignment horizontal="right" vertical="center"/>
    </xf>
    <xf numFmtId="183" fontId="0" fillId="0" borderId="29" xfId="0" applyNumberFormat="1" applyBorder="1" applyAlignment="1">
      <alignment horizontal="right" vertical="center"/>
    </xf>
    <xf numFmtId="0" fontId="0" fillId="21" borderId="30" xfId="0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0" fontId="10" fillId="23" borderId="11" xfId="0" applyFont="1" applyFill="1" applyBorder="1" applyAlignment="1">
      <alignment horizontal="left" vertical="center"/>
    </xf>
    <xf numFmtId="0" fontId="10" fillId="24" borderId="11" xfId="0" applyFont="1" applyFill="1" applyBorder="1" applyAlignment="1">
      <alignment horizontal="left" vertical="center"/>
    </xf>
    <xf numFmtId="181" fontId="16" fillId="0" borderId="11" xfId="0" applyNumberFormat="1" applyFont="1" applyBorder="1" applyAlignment="1">
      <alignment horizontal="left"/>
    </xf>
    <xf numFmtId="0" fontId="12" fillId="25" borderId="11" xfId="0" applyFont="1" applyFill="1" applyBorder="1" applyAlignment="1">
      <alignment horizontal="center" vertical="center"/>
    </xf>
    <xf numFmtId="0" fontId="12" fillId="24" borderId="11" xfId="0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74" fontId="10" fillId="23" borderId="11" xfId="20" applyNumberFormat="1" applyFont="1" applyFill="1" applyBorder="1" applyAlignment="1">
      <alignment horizontal="center" vertical="center"/>
    </xf>
    <xf numFmtId="174" fontId="10" fillId="24" borderId="11" xfId="20" applyNumberFormat="1" applyFont="1" applyFill="1" applyBorder="1" applyAlignment="1">
      <alignment horizontal="center" vertical="center"/>
    </xf>
    <xf numFmtId="174" fontId="13" fillId="21" borderId="11" xfId="20" applyNumberFormat="1" applyFont="1" applyFill="1" applyBorder="1" applyAlignment="1" applyProtection="1">
      <alignment vertical="center"/>
      <protection locked="0"/>
    </xf>
    <xf numFmtId="0" fontId="12" fillId="26" borderId="11" xfId="0" applyFont="1" applyFill="1" applyBorder="1" applyAlignment="1">
      <alignment horizontal="center" vertical="center" wrapText="1"/>
    </xf>
    <xf numFmtId="0" fontId="12" fillId="27" borderId="11" xfId="0" applyFont="1" applyFill="1" applyBorder="1" applyAlignment="1">
      <alignment horizontal="left" vertical="center"/>
    </xf>
    <xf numFmtId="174" fontId="12" fillId="26" borderId="11" xfId="0" applyNumberFormat="1" applyFont="1" applyFill="1" applyBorder="1" applyAlignment="1">
      <alignment horizontal="center" vertical="center" wrapText="1"/>
    </xf>
    <xf numFmtId="9" fontId="0" fillId="21" borderId="31" xfId="0" applyNumberFormat="1" applyFill="1" applyBorder="1" applyAlignment="1" applyProtection="1">
      <alignment horizontal="center" vertical="center"/>
      <protection locked="0"/>
    </xf>
    <xf numFmtId="188" fontId="0" fillId="14" borderId="0" xfId="0" applyNumberFormat="1" applyFill="1"/>
    <xf numFmtId="187" fontId="0" fillId="14" borderId="0" xfId="0" applyNumberFormat="1" applyFill="1"/>
    <xf numFmtId="174" fontId="13" fillId="19" borderId="31" xfId="20" applyNumberFormat="1" applyFont="1" applyFill="1" applyBorder="1" applyAlignment="1">
      <alignment vertical="center"/>
    </xf>
    <xf numFmtId="174" fontId="13" fillId="19" borderId="32" xfId="20" applyNumberFormat="1" applyFont="1" applyFill="1" applyBorder="1" applyAlignment="1">
      <alignment vertical="center"/>
    </xf>
    <xf numFmtId="173" fontId="0" fillId="0" borderId="33" xfId="20" applyNumberFormat="1" applyFont="1" applyBorder="1" applyAlignment="1">
      <alignment vertical="center"/>
    </xf>
    <xf numFmtId="174" fontId="13" fillId="19" borderId="34" xfId="20" applyNumberFormat="1" applyFont="1" applyFill="1" applyBorder="1" applyAlignment="1">
      <alignment vertical="center"/>
    </xf>
    <xf numFmtId="174" fontId="12" fillId="13" borderId="35" xfId="0" applyNumberFormat="1" applyFont="1" applyFill="1" applyBorder="1" applyAlignment="1">
      <alignment horizontal="center" vertical="center" wrapText="1"/>
    </xf>
    <xf numFmtId="186" fontId="13" fillId="28" borderId="31" xfId="32" applyNumberFormat="1" applyFill="1" applyBorder="1" applyAlignment="1">
      <alignment horizontal="center" vertical="center"/>
    </xf>
    <xf numFmtId="186" fontId="13" fillId="28" borderId="36" xfId="32" applyNumberFormat="1" applyFill="1" applyBorder="1" applyAlignment="1">
      <alignment horizontal="center" vertical="center"/>
    </xf>
    <xf numFmtId="174" fontId="12" fillId="13" borderId="37" xfId="0" applyNumberFormat="1" applyFont="1" applyFill="1" applyBorder="1" applyAlignment="1">
      <alignment horizontal="center" vertical="center" wrapText="1"/>
    </xf>
    <xf numFmtId="185" fontId="13" fillId="21" borderId="23" xfId="20" applyNumberFormat="1" applyFont="1" applyFill="1" applyBorder="1" applyAlignment="1" applyProtection="1">
      <alignment horizontal="center" vertical="center"/>
      <protection locked="0"/>
    </xf>
    <xf numFmtId="175" fontId="13" fillId="0" borderId="0" xfId="32"/>
    <xf numFmtId="187" fontId="13" fillId="0" borderId="0" xfId="20" applyNumberFormat="1"/>
    <xf numFmtId="0" fontId="19" fillId="21" borderId="2" xfId="0" applyFont="1" applyFill="1" applyBorder="1" applyAlignment="1" applyProtection="1">
      <alignment horizontal="center" vertical="center"/>
      <protection locked="0"/>
    </xf>
    <xf numFmtId="184" fontId="13" fillId="21" borderId="11" xfId="20" applyNumberFormat="1" applyFont="1" applyFill="1" applyBorder="1" applyAlignment="1" applyProtection="1">
      <alignment vertical="center"/>
      <protection locked="0"/>
    </xf>
    <xf numFmtId="9" fontId="0" fillId="21" borderId="36" xfId="0" applyNumberFormat="1" applyFill="1" applyBorder="1" applyAlignment="1" applyProtection="1">
      <alignment horizontal="center" vertical="center"/>
      <protection locked="0"/>
    </xf>
    <xf numFmtId="183" fontId="0" fillId="0" borderId="38" xfId="0" applyNumberFormat="1" applyBorder="1" applyAlignment="1">
      <alignment horizontal="right" vertical="center"/>
    </xf>
    <xf numFmtId="183" fontId="0" fillId="0" borderId="24" xfId="0" applyNumberFormat="1" applyBorder="1" applyAlignment="1">
      <alignment horizontal="right" vertical="center"/>
    </xf>
    <xf numFmtId="183" fontId="0" fillId="0" borderId="39" xfId="0" applyNumberFormat="1" applyBorder="1" applyAlignment="1">
      <alignment horizontal="right" vertical="center"/>
    </xf>
    <xf numFmtId="183" fontId="0" fillId="0" borderId="34" xfId="0" applyNumberFormat="1" applyBorder="1" applyAlignment="1">
      <alignment horizontal="right" vertical="center"/>
    </xf>
    <xf numFmtId="9" fontId="0" fillId="21" borderId="40" xfId="0" applyNumberFormat="1" applyFill="1" applyBorder="1" applyAlignment="1" applyProtection="1">
      <alignment horizontal="center" vertical="center"/>
      <protection locked="0"/>
    </xf>
    <xf numFmtId="0" fontId="9" fillId="29" borderId="40" xfId="0" applyFont="1" applyFill="1" applyBorder="1" applyAlignment="1">
      <alignment horizontal="center" vertical="center"/>
    </xf>
    <xf numFmtId="0" fontId="9" fillId="30" borderId="41" xfId="0" applyFont="1" applyFill="1" applyBorder="1" applyAlignment="1">
      <alignment horizontal="center" vertical="center"/>
    </xf>
    <xf numFmtId="0" fontId="9" fillId="29" borderId="34" xfId="0" applyFont="1" applyFill="1" applyBorder="1" applyAlignment="1">
      <alignment horizontal="center" vertical="center"/>
    </xf>
    <xf numFmtId="0" fontId="9" fillId="30" borderId="30" xfId="0" applyFont="1" applyFill="1" applyBorder="1" applyAlignment="1">
      <alignment horizontal="center" vertical="center"/>
    </xf>
    <xf numFmtId="175" fontId="13" fillId="21" borderId="42" xfId="32" applyFont="1" applyFill="1" applyBorder="1" applyAlignment="1" applyProtection="1">
      <alignment horizontal="center" vertical="center"/>
      <protection locked="0"/>
    </xf>
    <xf numFmtId="175" fontId="13" fillId="21" borderId="16" xfId="32" applyFont="1" applyFill="1" applyBorder="1" applyAlignment="1" applyProtection="1">
      <alignment horizontal="center" vertical="center"/>
      <protection locked="0"/>
    </xf>
    <xf numFmtId="175" fontId="13" fillId="21" borderId="30" xfId="32" applyFont="1" applyFill="1" applyBorder="1" applyAlignment="1" applyProtection="1">
      <alignment horizontal="center" vertical="center"/>
      <protection locked="0"/>
    </xf>
    <xf numFmtId="183" fontId="0" fillId="0" borderId="43" xfId="0" applyNumberFormat="1" applyBorder="1" applyAlignment="1">
      <alignment horizontal="right" vertical="center"/>
    </xf>
    <xf numFmtId="183" fontId="0" fillId="0" borderId="41" xfId="0" applyNumberFormat="1" applyBorder="1" applyAlignment="1">
      <alignment horizontal="right" vertical="center"/>
    </xf>
    <xf numFmtId="0" fontId="35" fillId="0" borderId="0" xfId="0" applyFont="1" applyAlignment="1">
      <alignment vertical="center" wrapText="1"/>
    </xf>
    <xf numFmtId="0" fontId="9" fillId="31" borderId="40" xfId="0" applyFont="1" applyFill="1" applyBorder="1" applyAlignment="1">
      <alignment horizontal="center" vertical="center"/>
    </xf>
    <xf numFmtId="0" fontId="9" fillId="31" borderId="41" xfId="0" applyFont="1" applyFill="1" applyBorder="1" applyAlignment="1">
      <alignment horizontal="center" vertical="center"/>
    </xf>
    <xf numFmtId="175" fontId="36" fillId="0" borderId="44" xfId="32" applyFont="1" applyBorder="1" applyAlignment="1">
      <alignment horizontal="center" vertical="center"/>
    </xf>
    <xf numFmtId="175" fontId="36" fillId="0" borderId="45" xfId="32" applyFont="1" applyBorder="1" applyAlignment="1">
      <alignment horizontal="center" vertical="center"/>
    </xf>
    <xf numFmtId="183" fontId="0" fillId="32" borderId="46" xfId="0" applyNumberFormat="1" applyFill="1" applyBorder="1" applyAlignment="1">
      <alignment horizontal="right" vertical="center"/>
    </xf>
    <xf numFmtId="183" fontId="0" fillId="32" borderId="47" xfId="0" applyNumberFormat="1" applyFill="1" applyBorder="1" applyAlignment="1">
      <alignment horizontal="right" vertical="center"/>
    </xf>
    <xf numFmtId="0" fontId="0" fillId="14" borderId="48" xfId="0" applyFill="1" applyBorder="1"/>
    <xf numFmtId="0" fontId="0" fillId="14" borderId="49" xfId="0" applyFill="1" applyBorder="1"/>
    <xf numFmtId="0" fontId="0" fillId="14" borderId="50" xfId="0" applyFill="1" applyBorder="1"/>
    <xf numFmtId="0" fontId="0" fillId="14" borderId="51" xfId="0" applyFill="1" applyBorder="1"/>
    <xf numFmtId="0" fontId="0" fillId="14" borderId="52" xfId="0" applyFill="1" applyBorder="1"/>
    <xf numFmtId="0" fontId="35" fillId="0" borderId="51" xfId="0" applyFont="1" applyBorder="1" applyAlignment="1">
      <alignment vertical="center"/>
    </xf>
    <xf numFmtId="0" fontId="9" fillId="29" borderId="53" xfId="0" applyFont="1" applyFill="1" applyBorder="1" applyAlignment="1">
      <alignment horizontal="center" vertical="center"/>
    </xf>
    <xf numFmtId="0" fontId="9" fillId="29" borderId="54" xfId="0" applyFont="1" applyFill="1" applyBorder="1" applyAlignment="1">
      <alignment horizontal="center" vertical="center"/>
    </xf>
    <xf numFmtId="0" fontId="9" fillId="31" borderId="53" xfId="0" applyFont="1" applyFill="1" applyBorder="1" applyAlignment="1">
      <alignment horizontal="center" vertical="center"/>
    </xf>
    <xf numFmtId="0" fontId="9" fillId="31" borderId="54" xfId="0" applyFont="1" applyFill="1" applyBorder="1" applyAlignment="1">
      <alignment horizontal="center" vertical="center"/>
    </xf>
    <xf numFmtId="0" fontId="9" fillId="30" borderId="53" xfId="0" applyFont="1" applyFill="1" applyBorder="1" applyAlignment="1">
      <alignment horizontal="center" vertical="center"/>
    </xf>
    <xf numFmtId="0" fontId="9" fillId="30" borderId="54" xfId="0" applyFont="1" applyFill="1" applyBorder="1" applyAlignment="1">
      <alignment horizontal="center" vertical="center"/>
    </xf>
    <xf numFmtId="0" fontId="0" fillId="14" borderId="55" xfId="0" applyFill="1" applyBorder="1"/>
    <xf numFmtId="0" fontId="0" fillId="14" borderId="56" xfId="0" applyFill="1" applyBorder="1"/>
    <xf numFmtId="0" fontId="0" fillId="14" borderId="57" xfId="0" applyFill="1" applyBorder="1"/>
    <xf numFmtId="174" fontId="10" fillId="24" borderId="11" xfId="20" applyNumberFormat="1" applyFont="1" applyFill="1" applyBorder="1" applyAlignment="1" applyProtection="1">
      <alignment horizontal="center" vertical="center"/>
      <protection locked="0"/>
    </xf>
    <xf numFmtId="0" fontId="12" fillId="18" borderId="54" xfId="0" applyFont="1" applyFill="1" applyBorder="1" applyAlignment="1">
      <alignment horizontal="center" vertical="center" wrapText="1"/>
    </xf>
    <xf numFmtId="0" fontId="0" fillId="21" borderId="11" xfId="0" applyFill="1" applyBorder="1" applyAlignment="1" applyProtection="1">
      <alignment horizontal="left" vertical="center"/>
      <protection locked="0"/>
    </xf>
    <xf numFmtId="0" fontId="0" fillId="21" borderId="58" xfId="0" applyFill="1" applyBorder="1" applyAlignment="1" applyProtection="1">
      <alignment horizontal="left" vertical="center"/>
      <protection locked="0"/>
    </xf>
    <xf numFmtId="184" fontId="13" fillId="21" borderId="58" xfId="20" applyNumberFormat="1" applyFont="1" applyFill="1" applyBorder="1" applyAlignment="1" applyProtection="1">
      <alignment vertical="center"/>
      <protection locked="0"/>
    </xf>
    <xf numFmtId="0" fontId="0" fillId="21" borderId="23" xfId="0" applyFill="1" applyBorder="1" applyAlignment="1" applyProtection="1">
      <alignment horizontal="left" vertical="center"/>
      <protection locked="0"/>
    </xf>
    <xf numFmtId="184" fontId="13" fillId="21" borderId="23" xfId="20" applyNumberFormat="1" applyFont="1" applyFill="1" applyBorder="1" applyAlignment="1" applyProtection="1">
      <alignment vertical="center"/>
      <protection locked="0"/>
    </xf>
    <xf numFmtId="183" fontId="19" fillId="33" borderId="59" xfId="0" applyNumberFormat="1" applyFont="1" applyFill="1" applyBorder="1" applyAlignment="1">
      <alignment vertical="center"/>
    </xf>
    <xf numFmtId="186" fontId="13" fillId="28" borderId="34" xfId="32" applyNumberFormat="1" applyFill="1" applyBorder="1" applyAlignment="1">
      <alignment horizontal="center" vertical="center"/>
    </xf>
    <xf numFmtId="174" fontId="13" fillId="21" borderId="38" xfId="20" applyNumberFormat="1" applyFont="1" applyFill="1" applyBorder="1" applyAlignment="1" applyProtection="1">
      <alignment vertical="center"/>
      <protection locked="0"/>
    </xf>
    <xf numFmtId="174" fontId="13" fillId="21" borderId="41" xfId="20" applyNumberFormat="1" applyFont="1" applyFill="1" applyBorder="1" applyAlignment="1" applyProtection="1">
      <alignment vertical="center"/>
      <protection locked="0"/>
    </xf>
    <xf numFmtId="0" fontId="0" fillId="21" borderId="30" xfId="0" applyFill="1" applyBorder="1" applyAlignment="1" applyProtection="1">
      <alignment horizontal="left" vertical="center"/>
      <protection locked="0"/>
    </xf>
    <xf numFmtId="0" fontId="12" fillId="18" borderId="41" xfId="0" applyFont="1" applyFill="1" applyBorder="1" applyAlignment="1">
      <alignment horizontal="center" vertical="center" wrapText="1"/>
    </xf>
    <xf numFmtId="186" fontId="13" fillId="28" borderId="40" xfId="32" applyNumberFormat="1" applyFill="1" applyBorder="1" applyAlignment="1">
      <alignment horizontal="center" vertical="center"/>
    </xf>
    <xf numFmtId="186" fontId="13" fillId="28" borderId="23" xfId="32" applyNumberFormat="1" applyFill="1" applyBorder="1" applyAlignment="1">
      <alignment horizontal="center" vertical="center"/>
    </xf>
    <xf numFmtId="186" fontId="13" fillId="28" borderId="41" xfId="32" applyNumberFormat="1" applyFill="1" applyBorder="1" applyAlignment="1">
      <alignment horizontal="center" vertical="center"/>
    </xf>
    <xf numFmtId="0" fontId="29" fillId="0" borderId="0" xfId="15" applyFill="1" applyBorder="1" applyAlignment="1" applyProtection="1">
      <alignment vertical="center"/>
    </xf>
    <xf numFmtId="0" fontId="29" fillId="14" borderId="0" xfId="15" applyFill="1" applyBorder="1" applyAlignment="1" applyProtection="1">
      <alignment vertical="center"/>
    </xf>
    <xf numFmtId="0" fontId="29" fillId="0" borderId="0" xfId="15" applyProtection="1"/>
    <xf numFmtId="0" fontId="29" fillId="0" borderId="0" xfId="15" applyBorder="1" applyAlignment="1" applyProtection="1">
      <alignment vertical="center"/>
    </xf>
    <xf numFmtId="0" fontId="29" fillId="0" borderId="0" xfId="15" applyBorder="1" applyAlignment="1" applyProtection="1">
      <alignment horizontal="left" vertical="center"/>
    </xf>
    <xf numFmtId="0" fontId="35" fillId="0" borderId="0" xfId="0" applyFont="1" applyAlignment="1">
      <alignment horizontal="left" vertical="center"/>
    </xf>
    <xf numFmtId="0" fontId="29" fillId="0" borderId="0" xfId="15" quotePrefix="1" applyBorder="1" applyAlignment="1" applyProtection="1">
      <alignment horizontal="left" vertical="center"/>
    </xf>
    <xf numFmtId="0" fontId="29" fillId="0" borderId="0" xfId="15"/>
    <xf numFmtId="0" fontId="29" fillId="14" borderId="0" xfId="15" applyFill="1" applyBorder="1" applyAlignment="1" applyProtection="1">
      <alignment horizontal="left" vertical="center"/>
    </xf>
    <xf numFmtId="0" fontId="29" fillId="0" borderId="0" xfId="15" applyAlignment="1" applyProtection="1">
      <alignment horizontal="left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174" fontId="0" fillId="0" borderId="0" xfId="0" applyNumberFormat="1" applyAlignment="1">
      <alignment vertical="center"/>
    </xf>
    <xf numFmtId="174" fontId="12" fillId="0" borderId="0" xfId="0" applyNumberFormat="1" applyFont="1" applyAlignment="1">
      <alignment vertical="center"/>
    </xf>
    <xf numFmtId="174" fontId="13" fillId="19" borderId="60" xfId="20" applyNumberFormat="1" applyFont="1" applyFill="1" applyBorder="1" applyAlignment="1">
      <alignment vertical="center"/>
    </xf>
    <xf numFmtId="0" fontId="12" fillId="13" borderId="53" xfId="0" applyFont="1" applyFill="1" applyBorder="1" applyAlignment="1">
      <alignment horizontal="center" vertical="center"/>
    </xf>
    <xf numFmtId="0" fontId="12" fillId="13" borderId="17" xfId="0" applyFont="1" applyFill="1" applyBorder="1" applyAlignment="1">
      <alignment horizontal="center" vertical="center"/>
    </xf>
    <xf numFmtId="183" fontId="19" fillId="20" borderId="61" xfId="0" applyNumberFormat="1" applyFont="1" applyFill="1" applyBorder="1" applyAlignment="1">
      <alignment horizontal="right" vertical="center"/>
    </xf>
    <xf numFmtId="175" fontId="32" fillId="16" borderId="62" xfId="32" applyFont="1" applyFill="1" applyBorder="1" applyAlignment="1">
      <alignment horizontal="center" vertical="center"/>
    </xf>
    <xf numFmtId="183" fontId="19" fillId="20" borderId="63" xfId="0" applyNumberFormat="1" applyFont="1" applyFill="1" applyBorder="1" applyAlignment="1">
      <alignment horizontal="right" vertical="center"/>
    </xf>
    <xf numFmtId="0" fontId="0" fillId="21" borderId="42" xfId="0" applyFill="1" applyBorder="1" applyAlignment="1" applyProtection="1">
      <alignment horizontal="left" vertical="center"/>
      <protection locked="0"/>
    </xf>
    <xf numFmtId="0" fontId="0" fillId="21" borderId="58" xfId="0" applyFill="1" applyBorder="1" applyProtection="1">
      <protection locked="0"/>
    </xf>
    <xf numFmtId="183" fontId="0" fillId="19" borderId="26" xfId="0" applyNumberFormat="1" applyFill="1" applyBorder="1" applyAlignment="1">
      <alignment horizontal="right" vertical="center"/>
    </xf>
    <xf numFmtId="0" fontId="0" fillId="21" borderId="64" xfId="0" applyFill="1" applyBorder="1" applyAlignment="1" applyProtection="1">
      <alignment horizontal="left" vertical="center"/>
      <protection locked="0"/>
    </xf>
    <xf numFmtId="0" fontId="0" fillId="21" borderId="64" xfId="0" applyFill="1" applyBorder="1" applyProtection="1">
      <protection locked="0"/>
    </xf>
    <xf numFmtId="0" fontId="0" fillId="21" borderId="65" xfId="0" applyFill="1" applyBorder="1" applyProtection="1">
      <protection locked="0"/>
    </xf>
    <xf numFmtId="184" fontId="13" fillId="21" borderId="39" xfId="20" applyNumberFormat="1" applyFont="1" applyFill="1" applyBorder="1" applyAlignment="1" applyProtection="1">
      <alignment vertical="center"/>
      <protection locked="0"/>
    </xf>
    <xf numFmtId="183" fontId="0" fillId="19" borderId="27" xfId="0" applyNumberFormat="1" applyFill="1" applyBorder="1" applyAlignment="1">
      <alignment horizontal="right" vertical="center"/>
    </xf>
    <xf numFmtId="0" fontId="0" fillId="21" borderId="16" xfId="0" applyFill="1" applyBorder="1" applyAlignment="1" applyProtection="1">
      <alignment horizontal="left" vertical="center"/>
      <protection locked="0"/>
    </xf>
    <xf numFmtId="0" fontId="0" fillId="21" borderId="11" xfId="0" applyFill="1" applyBorder="1" applyProtection="1">
      <protection locked="0"/>
    </xf>
    <xf numFmtId="0" fontId="0" fillId="21" borderId="39" xfId="0" applyFill="1" applyBorder="1" applyProtection="1">
      <protection locked="0"/>
    </xf>
    <xf numFmtId="0" fontId="0" fillId="21" borderId="23" xfId="0" applyFill="1" applyBorder="1" applyProtection="1">
      <protection locked="0"/>
    </xf>
    <xf numFmtId="0" fontId="0" fillId="21" borderId="34" xfId="0" applyFill="1" applyBorder="1" applyProtection="1">
      <protection locked="0"/>
    </xf>
    <xf numFmtId="184" fontId="13" fillId="21" borderId="34" xfId="20" applyNumberFormat="1" applyFont="1" applyFill="1" applyBorder="1" applyAlignment="1" applyProtection="1">
      <alignment vertical="center"/>
      <protection locked="0"/>
    </xf>
    <xf numFmtId="183" fontId="0" fillId="19" borderId="25" xfId="0" applyNumberFormat="1" applyFill="1" applyBorder="1" applyAlignment="1">
      <alignment horizontal="right" vertical="center"/>
    </xf>
    <xf numFmtId="9" fontId="0" fillId="34" borderId="62" xfId="0" applyNumberFormat="1" applyFill="1" applyBorder="1" applyAlignment="1">
      <alignment horizontal="center" vertical="center"/>
    </xf>
    <xf numFmtId="183" fontId="0" fillId="20" borderId="66" xfId="0" applyNumberFormat="1" applyFill="1" applyBorder="1" applyAlignment="1">
      <alignment horizontal="right" vertical="center"/>
    </xf>
    <xf numFmtId="9" fontId="0" fillId="34" borderId="66" xfId="0" applyNumberFormat="1" applyFill="1" applyBorder="1" applyAlignment="1">
      <alignment horizontal="center" vertical="center"/>
    </xf>
    <xf numFmtId="175" fontId="13" fillId="34" borderId="66" xfId="32" applyFont="1" applyFill="1" applyBorder="1" applyAlignment="1">
      <alignment horizontal="center" vertical="center"/>
    </xf>
    <xf numFmtId="183" fontId="0" fillId="20" borderId="63" xfId="0" applyNumberFormat="1" applyFill="1" applyBorder="1" applyAlignment="1">
      <alignment horizontal="right" vertical="center"/>
    </xf>
    <xf numFmtId="174" fontId="12" fillId="22" borderId="67" xfId="0" applyNumberFormat="1" applyFont="1" applyFill="1" applyBorder="1" applyAlignment="1">
      <alignment horizontal="center" vertical="center" wrapText="1"/>
    </xf>
    <xf numFmtId="174" fontId="12" fillId="22" borderId="10" xfId="0" applyNumberFormat="1" applyFont="1" applyFill="1" applyBorder="1" applyAlignment="1">
      <alignment horizontal="center" vertical="center" wrapText="1"/>
    </xf>
    <xf numFmtId="174" fontId="12" fillId="22" borderId="68" xfId="0" applyNumberFormat="1" applyFont="1" applyFill="1" applyBorder="1" applyAlignment="1">
      <alignment horizontal="center" vertical="center" wrapText="1"/>
    </xf>
    <xf numFmtId="174" fontId="18" fillId="27" borderId="62" xfId="20" applyNumberFormat="1" applyFont="1" applyFill="1" applyBorder="1" applyAlignment="1">
      <alignment vertical="center" wrapText="1"/>
    </xf>
    <xf numFmtId="174" fontId="12" fillId="22" borderId="69" xfId="0" applyNumberFormat="1" applyFont="1" applyFill="1" applyBorder="1" applyAlignment="1">
      <alignment horizontal="center" vertical="center" wrapText="1"/>
    </xf>
    <xf numFmtId="0" fontId="12" fillId="18" borderId="70" xfId="0" applyFont="1" applyFill="1" applyBorder="1" applyAlignment="1">
      <alignment horizontal="center" vertical="center" wrapText="1"/>
    </xf>
    <xf numFmtId="185" fontId="13" fillId="21" borderId="31" xfId="20" applyNumberFormat="1" applyFont="1" applyFill="1" applyBorder="1" applyAlignment="1" applyProtection="1">
      <alignment horizontal="center" vertical="center"/>
      <protection locked="0"/>
    </xf>
    <xf numFmtId="185" fontId="13" fillId="21" borderId="58" xfId="20" applyNumberFormat="1" applyFont="1" applyFill="1" applyBorder="1" applyAlignment="1" applyProtection="1">
      <alignment horizontal="center" vertical="center"/>
      <protection locked="0"/>
    </xf>
    <xf numFmtId="185" fontId="13" fillId="21" borderId="40" xfId="20" applyNumberFormat="1" applyFont="1" applyFill="1" applyBorder="1" applyAlignment="1" applyProtection="1">
      <alignment horizontal="center" vertical="center"/>
      <protection locked="0"/>
    </xf>
    <xf numFmtId="0" fontId="0" fillId="0" borderId="71" xfId="0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185" fontId="13" fillId="21" borderId="36" xfId="20" applyNumberFormat="1" applyFont="1" applyFill="1" applyBorder="1" applyAlignment="1" applyProtection="1">
      <alignment horizontal="center" vertical="center"/>
      <protection locked="0"/>
    </xf>
    <xf numFmtId="174" fontId="12" fillId="13" borderId="10" xfId="0" applyNumberFormat="1" applyFont="1" applyFill="1" applyBorder="1" applyAlignment="1">
      <alignment horizontal="center" vertical="center" wrapText="1"/>
    </xf>
    <xf numFmtId="174" fontId="12" fillId="13" borderId="74" xfId="0" applyNumberFormat="1" applyFont="1" applyFill="1" applyBorder="1" applyAlignment="1">
      <alignment horizontal="center" vertical="center" wrapText="1"/>
    </xf>
    <xf numFmtId="0" fontId="12" fillId="13" borderId="67" xfId="0" applyFont="1" applyFill="1" applyBorder="1" applyAlignment="1">
      <alignment horizontal="center" vertical="center"/>
    </xf>
    <xf numFmtId="0" fontId="12" fillId="13" borderId="75" xfId="0" applyFont="1" applyFill="1" applyBorder="1" applyAlignment="1">
      <alignment horizontal="center" vertical="center"/>
    </xf>
    <xf numFmtId="173" fontId="0" fillId="0" borderId="2" xfId="20" applyNumberFormat="1" applyFont="1" applyBorder="1" applyAlignment="1">
      <alignment vertical="center"/>
    </xf>
    <xf numFmtId="174" fontId="13" fillId="19" borderId="58" xfId="20" applyNumberFormat="1" applyFont="1" applyFill="1" applyBorder="1" applyAlignment="1">
      <alignment vertical="center"/>
    </xf>
    <xf numFmtId="174" fontId="13" fillId="19" borderId="24" xfId="20" applyNumberFormat="1" applyFont="1" applyFill="1" applyBorder="1" applyAlignment="1">
      <alignment vertical="center"/>
    </xf>
    <xf numFmtId="186" fontId="13" fillId="28" borderId="58" xfId="32" applyNumberFormat="1" applyFill="1" applyBorder="1" applyAlignment="1">
      <alignment horizontal="center" vertical="center"/>
    </xf>
    <xf numFmtId="186" fontId="13" fillId="28" borderId="43" xfId="32" applyNumberFormat="1" applyFill="1" applyBorder="1" applyAlignment="1">
      <alignment horizontal="center" vertical="center"/>
    </xf>
    <xf numFmtId="0" fontId="0" fillId="21" borderId="42" xfId="0" applyFill="1" applyBorder="1" applyAlignment="1" applyProtection="1">
      <alignment horizontal="left" vertical="center"/>
      <protection locked="0"/>
    </xf>
    <xf numFmtId="174" fontId="13" fillId="21" borderId="43" xfId="20" applyNumberFormat="1" applyFont="1" applyFill="1" applyBorder="1" applyAlignment="1" applyProtection="1">
      <alignment vertical="center"/>
      <protection locked="0"/>
    </xf>
    <xf numFmtId="174" fontId="13" fillId="19" borderId="40" xfId="20" applyNumberFormat="1" applyFont="1" applyFill="1" applyBorder="1" applyAlignment="1">
      <alignment vertical="center"/>
    </xf>
    <xf numFmtId="174" fontId="13" fillId="19" borderId="23" xfId="20" applyNumberFormat="1" applyFont="1" applyFill="1" applyBorder="1" applyAlignment="1">
      <alignment vertical="center"/>
    </xf>
    <xf numFmtId="174" fontId="12" fillId="13" borderId="3" xfId="0" applyNumberFormat="1" applyFont="1" applyFill="1" applyBorder="1" applyAlignment="1">
      <alignment horizontal="center" vertical="center" wrapText="1"/>
    </xf>
    <xf numFmtId="174" fontId="12" fillId="13" borderId="2" xfId="0" applyNumberFormat="1" applyFont="1" applyFill="1" applyBorder="1" applyAlignment="1">
      <alignment horizontal="center" vertical="center" wrapText="1"/>
    </xf>
    <xf numFmtId="173" fontId="0" fillId="0" borderId="76" xfId="20" applyNumberFormat="1" applyFont="1" applyBorder="1" applyAlignment="1">
      <alignment vertical="center"/>
    </xf>
    <xf numFmtId="186" fontId="13" fillId="28" borderId="58" xfId="32" applyNumberFormat="1" applyFill="1" applyBorder="1" applyAlignment="1">
      <alignment horizontal="center" vertical="center"/>
    </xf>
    <xf numFmtId="186" fontId="13" fillId="28" borderId="24" xfId="32" applyNumberFormat="1" applyFill="1" applyBorder="1" applyAlignment="1">
      <alignment horizontal="center" vertical="center"/>
    </xf>
    <xf numFmtId="174" fontId="13" fillId="19" borderId="77" xfId="20" applyNumberFormat="1" applyFont="1" applyFill="1" applyBorder="1" applyAlignment="1">
      <alignment vertical="center"/>
    </xf>
    <xf numFmtId="174" fontId="13" fillId="19" borderId="36" xfId="20" applyNumberFormat="1" applyFont="1" applyFill="1" applyBorder="1" applyAlignment="1">
      <alignment vertical="center"/>
    </xf>
    <xf numFmtId="174" fontId="13" fillId="19" borderId="78" xfId="20" applyNumberFormat="1" applyFont="1" applyFill="1" applyBorder="1" applyAlignment="1">
      <alignment vertical="center"/>
    </xf>
    <xf numFmtId="0" fontId="12" fillId="18" borderId="79" xfId="0" applyFont="1" applyFill="1" applyBorder="1" applyAlignment="1">
      <alignment horizontal="center" vertical="center" wrapText="1"/>
    </xf>
    <xf numFmtId="0" fontId="12" fillId="24" borderId="80" xfId="0" applyFont="1" applyFill="1" applyBorder="1" applyAlignment="1">
      <alignment horizontal="center" vertical="center" wrapText="1"/>
    </xf>
    <xf numFmtId="1" fontId="0" fillId="0" borderId="80" xfId="0" applyNumberFormat="1" applyBorder="1" applyAlignment="1">
      <alignment horizontal="center" vertical="center" wrapText="1"/>
    </xf>
    <xf numFmtId="1" fontId="0" fillId="0" borderId="145" xfId="0" applyNumberFormat="1" applyBorder="1" applyAlignment="1">
      <alignment horizontal="center"/>
    </xf>
    <xf numFmtId="1" fontId="0" fillId="0" borderId="146" xfId="0" applyNumberFormat="1" applyBorder="1"/>
    <xf numFmtId="1" fontId="0" fillId="34" borderId="80" xfId="0" applyNumberFormat="1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0" fontId="10" fillId="23" borderId="2" xfId="0" applyFont="1" applyFill="1" applyBorder="1" applyAlignment="1">
      <alignment horizontal="left" vertical="center"/>
    </xf>
    <xf numFmtId="174" fontId="10" fillId="23" borderId="81" xfId="20" applyNumberFormat="1" applyFont="1" applyFill="1" applyBorder="1" applyAlignment="1">
      <alignment horizontal="center" vertical="center"/>
    </xf>
    <xf numFmtId="174" fontId="10" fillId="23" borderId="16" xfId="20" applyNumberFormat="1" applyFont="1" applyFill="1" applyBorder="1" applyAlignment="1">
      <alignment horizontal="center" vertical="center"/>
    </xf>
    <xf numFmtId="174" fontId="10" fillId="24" borderId="39" xfId="20" applyNumberFormat="1" applyFont="1" applyFill="1" applyBorder="1" applyAlignment="1">
      <alignment horizontal="center" vertical="center"/>
    </xf>
    <xf numFmtId="174" fontId="10" fillId="24" borderId="81" xfId="20" applyNumberFormat="1" applyFont="1" applyFill="1" applyBorder="1" applyAlignment="1">
      <alignment horizontal="center" vertical="center"/>
    </xf>
    <xf numFmtId="174" fontId="10" fillId="24" borderId="16" xfId="20" applyNumberFormat="1" applyFont="1" applyFill="1" applyBorder="1" applyAlignment="1">
      <alignment horizontal="center" vertical="center"/>
    </xf>
    <xf numFmtId="42" fontId="13" fillId="21" borderId="11" xfId="21" applyFont="1" applyFill="1" applyBorder="1" applyAlignment="1" applyProtection="1">
      <alignment horizontal="center" vertical="center"/>
      <protection locked="0"/>
    </xf>
    <xf numFmtId="187" fontId="13" fillId="30" borderId="11" xfId="20" applyNumberFormat="1" applyFill="1" applyBorder="1" applyAlignment="1">
      <alignment vertical="center"/>
    </xf>
    <xf numFmtId="187" fontId="13" fillId="30" borderId="11" xfId="20" applyNumberFormat="1" applyFill="1" applyBorder="1"/>
    <xf numFmtId="42" fontId="13" fillId="35" borderId="11" xfId="21" applyFont="1" applyFill="1" applyBorder="1" applyAlignment="1" applyProtection="1">
      <alignment horizontal="center" vertical="center"/>
      <protection locked="0"/>
    </xf>
    <xf numFmtId="0" fontId="10" fillId="24" borderId="2" xfId="0" applyFont="1" applyFill="1" applyBorder="1" applyAlignment="1">
      <alignment horizontal="left" vertical="center"/>
    </xf>
    <xf numFmtId="181" fontId="16" fillId="0" borderId="2" xfId="0" applyNumberFormat="1" applyFont="1" applyBorder="1" applyAlignment="1">
      <alignment horizontal="left" wrapText="1"/>
    </xf>
    <xf numFmtId="181" fontId="16" fillId="0" borderId="2" xfId="0" applyNumberFormat="1" applyFont="1" applyBorder="1" applyAlignment="1">
      <alignment horizontal="left"/>
    </xf>
    <xf numFmtId="184" fontId="13" fillId="21" borderId="23" xfId="20" applyNumberFormat="1" applyFont="1" applyFill="1" applyBorder="1" applyAlignment="1" applyProtection="1">
      <alignment vertical="center"/>
      <protection locked="0"/>
    </xf>
    <xf numFmtId="185" fontId="13" fillId="21" borderId="19" xfId="20" applyNumberFormat="1" applyFont="1" applyFill="1" applyBorder="1" applyAlignment="1" applyProtection="1">
      <alignment horizontal="center" vertical="center"/>
      <protection locked="0"/>
    </xf>
    <xf numFmtId="185" fontId="13" fillId="21" borderId="23" xfId="20" applyNumberFormat="1" applyFont="1" applyFill="1" applyBorder="1" applyAlignment="1" applyProtection="1">
      <alignment horizontal="center" vertical="center"/>
      <protection locked="0"/>
    </xf>
    <xf numFmtId="174" fontId="13" fillId="36" borderId="3" xfId="20" applyNumberFormat="1" applyFont="1" applyFill="1" applyBorder="1" applyAlignment="1">
      <alignment vertical="center"/>
    </xf>
    <xf numFmtId="174" fontId="13" fillId="36" borderId="10" xfId="20" applyNumberFormat="1" applyFont="1" applyFill="1" applyBorder="1" applyAlignment="1">
      <alignment vertical="center"/>
    </xf>
    <xf numFmtId="174" fontId="12" fillId="22" borderId="67" xfId="0" applyNumberFormat="1" applyFont="1" applyFill="1" applyBorder="1" applyAlignment="1">
      <alignment horizontal="center" vertical="center" wrapText="1"/>
    </xf>
    <xf numFmtId="174" fontId="12" fillId="22" borderId="10" xfId="0" applyNumberFormat="1" applyFont="1" applyFill="1" applyBorder="1" applyAlignment="1">
      <alignment horizontal="center" vertical="center" wrapText="1"/>
    </xf>
    <xf numFmtId="174" fontId="12" fillId="22" borderId="68" xfId="0" applyNumberFormat="1" applyFont="1" applyFill="1" applyBorder="1" applyAlignment="1">
      <alignment horizontal="center" vertical="center" wrapText="1"/>
    </xf>
    <xf numFmtId="185" fontId="12" fillId="19" borderId="43" xfId="0" applyNumberFormat="1" applyFont="1" applyFill="1" applyBorder="1" applyAlignment="1">
      <alignment horizontal="center" vertical="center"/>
    </xf>
    <xf numFmtId="185" fontId="12" fillId="19" borderId="38" xfId="0" applyNumberFormat="1" applyFont="1" applyFill="1" applyBorder="1" applyAlignment="1">
      <alignment horizontal="center" vertical="center"/>
    </xf>
    <xf numFmtId="185" fontId="12" fillId="19" borderId="41" xfId="0" applyNumberFormat="1" applyFont="1" applyFill="1" applyBorder="1" applyAlignment="1">
      <alignment horizontal="center" vertical="center"/>
    </xf>
    <xf numFmtId="0" fontId="12" fillId="25" borderId="6" xfId="0" applyFont="1" applyFill="1" applyBorder="1" applyAlignment="1">
      <alignment horizontal="center" vertical="center"/>
    </xf>
    <xf numFmtId="0" fontId="10" fillId="23" borderId="2" xfId="0" applyFont="1" applyFill="1" applyBorder="1" applyAlignment="1">
      <alignment horizontal="left" vertical="center"/>
    </xf>
    <xf numFmtId="174" fontId="10" fillId="23" borderId="11" xfId="20" applyNumberFormat="1" applyFont="1" applyFill="1" applyBorder="1" applyAlignment="1">
      <alignment horizontal="center" vertical="center"/>
    </xf>
    <xf numFmtId="0" fontId="10" fillId="24" borderId="2" xfId="0" applyFont="1" applyFill="1" applyBorder="1" applyAlignment="1">
      <alignment horizontal="left" vertical="center"/>
    </xf>
    <xf numFmtId="174" fontId="10" fillId="24" borderId="11" xfId="20" applyNumberFormat="1" applyFont="1" applyFill="1" applyBorder="1" applyAlignment="1">
      <alignment horizontal="center" vertical="center"/>
    </xf>
    <xf numFmtId="174" fontId="12" fillId="11" borderId="11" xfId="20" applyNumberFormat="1" applyFont="1" applyFill="1" applyBorder="1" applyAlignment="1">
      <alignment vertical="center"/>
    </xf>
    <xf numFmtId="174" fontId="13" fillId="37" borderId="11" xfId="20" applyNumberFormat="1" applyFont="1" applyFill="1" applyBorder="1" applyAlignment="1">
      <alignment vertical="center"/>
    </xf>
    <xf numFmtId="174" fontId="16" fillId="19" borderId="11" xfId="20" applyNumberFormat="1" applyFont="1" applyFill="1" applyBorder="1" applyAlignment="1">
      <alignment vertical="center"/>
    </xf>
    <xf numFmtId="174" fontId="13" fillId="21" borderId="11" xfId="20" applyNumberFormat="1" applyFont="1" applyFill="1" applyBorder="1" applyAlignment="1" applyProtection="1">
      <alignment vertical="center"/>
      <protection locked="0"/>
    </xf>
    <xf numFmtId="174" fontId="16" fillId="21" borderId="11" xfId="20" applyNumberFormat="1" applyFont="1" applyFill="1" applyBorder="1" applyAlignment="1" applyProtection="1">
      <alignment vertical="center"/>
      <protection locked="0"/>
    </xf>
    <xf numFmtId="182" fontId="16" fillId="21" borderId="11" xfId="16" applyNumberFormat="1" applyFont="1" applyFill="1" applyBorder="1" applyAlignment="1" applyProtection="1">
      <alignment vertical="center"/>
      <protection locked="0"/>
    </xf>
    <xf numFmtId="181" fontId="36" fillId="0" borderId="2" xfId="0" applyNumberFormat="1" applyFont="1" applyBorder="1" applyAlignment="1">
      <alignment horizontal="left"/>
    </xf>
    <xf numFmtId="174" fontId="10" fillId="24" borderId="11" xfId="20" applyNumberFormat="1" applyFont="1" applyFill="1" applyBorder="1" applyAlignment="1">
      <alignment vertical="center"/>
    </xf>
    <xf numFmtId="181" fontId="16" fillId="0" borderId="74" xfId="0" applyNumberFormat="1" applyFont="1" applyBorder="1" applyAlignment="1">
      <alignment horizontal="left"/>
    </xf>
    <xf numFmtId="0" fontId="12" fillId="25" borderId="82" xfId="0" applyFont="1" applyFill="1" applyBorder="1" applyAlignment="1">
      <alignment horizontal="center" vertical="center"/>
    </xf>
    <xf numFmtId="0" fontId="10" fillId="23" borderId="83" xfId="0" applyFont="1" applyFill="1" applyBorder="1" applyAlignment="1">
      <alignment horizontal="left" vertical="center"/>
    </xf>
    <xf numFmtId="174" fontId="10" fillId="23" borderId="58" xfId="20" applyNumberFormat="1" applyFont="1" applyFill="1" applyBorder="1" applyAlignment="1">
      <alignment horizontal="center" vertical="center"/>
    </xf>
    <xf numFmtId="174" fontId="10" fillId="38" borderId="58" xfId="20" applyNumberFormat="1" applyFont="1" applyFill="1" applyBorder="1" applyAlignment="1">
      <alignment vertical="center"/>
    </xf>
    <xf numFmtId="174" fontId="12" fillId="12" borderId="58" xfId="20" applyNumberFormat="1" applyFont="1" applyFill="1" applyBorder="1" applyAlignment="1">
      <alignment vertical="center"/>
    </xf>
    <xf numFmtId="174" fontId="10" fillId="23" borderId="77" xfId="20" applyNumberFormat="1" applyFont="1" applyFill="1" applyBorder="1" applyAlignment="1">
      <alignment horizontal="center" vertical="center"/>
    </xf>
    <xf numFmtId="174" fontId="10" fillId="39" borderId="11" xfId="20" applyNumberFormat="1" applyFont="1" applyFill="1" applyBorder="1" applyAlignment="1">
      <alignment vertical="center"/>
    </xf>
    <xf numFmtId="174" fontId="10" fillId="24" borderId="84" xfId="20" applyNumberFormat="1" applyFont="1" applyFill="1" applyBorder="1" applyAlignment="1">
      <alignment horizontal="center" vertical="center"/>
    </xf>
    <xf numFmtId="182" fontId="16" fillId="19" borderId="11" xfId="16" applyNumberFormat="1" applyFont="1" applyFill="1" applyBorder="1" applyAlignment="1">
      <alignment vertical="center"/>
    </xf>
    <xf numFmtId="174" fontId="10" fillId="33" borderId="78" xfId="20" applyNumberFormat="1" applyFont="1" applyFill="1" applyBorder="1" applyAlignment="1">
      <alignment vertical="center"/>
    </xf>
    <xf numFmtId="182" fontId="13" fillId="19" borderId="11" xfId="16" applyNumberFormat="1" applyFill="1" applyBorder="1"/>
    <xf numFmtId="174" fontId="10" fillId="40" borderId="11" xfId="20" applyNumberFormat="1" applyFont="1" applyFill="1" applyBorder="1" applyAlignment="1">
      <alignment vertical="center"/>
    </xf>
    <xf numFmtId="174" fontId="10" fillId="23" borderId="84" xfId="20" applyNumberFormat="1" applyFont="1" applyFill="1" applyBorder="1" applyAlignment="1">
      <alignment horizontal="center" vertical="center"/>
    </xf>
    <xf numFmtId="174" fontId="10" fillId="24" borderId="38" xfId="20" applyNumberFormat="1" applyFont="1" applyFill="1" applyBorder="1" applyAlignment="1">
      <alignment horizontal="center" vertical="center"/>
    </xf>
    <xf numFmtId="182" fontId="13" fillId="21" borderId="11" xfId="16" applyNumberFormat="1" applyFill="1" applyBorder="1" applyProtection="1">
      <protection locked="0"/>
    </xf>
    <xf numFmtId="174" fontId="16" fillId="41" borderId="11" xfId="20" applyNumberFormat="1" applyFont="1" applyFill="1" applyBorder="1" applyAlignment="1">
      <alignment vertical="center"/>
    </xf>
    <xf numFmtId="182" fontId="13" fillId="41" borderId="11" xfId="16" applyNumberFormat="1" applyFill="1" applyBorder="1"/>
    <xf numFmtId="174" fontId="16" fillId="42" borderId="11" xfId="20" applyNumberFormat="1" applyFont="1" applyFill="1" applyBorder="1" applyAlignment="1">
      <alignment vertical="center"/>
    </xf>
    <xf numFmtId="174" fontId="10" fillId="33" borderId="85" xfId="20" applyNumberFormat="1" applyFont="1" applyFill="1" applyBorder="1" applyAlignment="1">
      <alignment vertical="center"/>
    </xf>
    <xf numFmtId="0" fontId="12" fillId="26" borderId="86" xfId="0" applyFont="1" applyFill="1" applyBorder="1" applyAlignment="1">
      <alignment horizontal="center" vertical="center" wrapText="1"/>
    </xf>
    <xf numFmtId="0" fontId="12" fillId="27" borderId="87" xfId="0" applyFont="1" applyFill="1" applyBorder="1" applyAlignment="1">
      <alignment vertical="center"/>
    </xf>
    <xf numFmtId="173" fontId="12" fillId="27" borderId="23" xfId="20" applyNumberFormat="1" applyFont="1" applyFill="1" applyBorder="1" applyAlignment="1">
      <alignment vertical="center"/>
    </xf>
    <xf numFmtId="173" fontId="12" fillId="43" borderId="23" xfId="20" applyNumberFormat="1" applyFont="1" applyFill="1" applyBorder="1" applyAlignment="1">
      <alignment vertical="center"/>
    </xf>
    <xf numFmtId="173" fontId="12" fillId="27" borderId="88" xfId="20" applyNumberFormat="1" applyFont="1" applyFill="1" applyBorder="1" applyAlignment="1">
      <alignment vertical="center"/>
    </xf>
    <xf numFmtId="174" fontId="12" fillId="34" borderId="16" xfId="20" applyNumberFormat="1" applyFont="1" applyFill="1" applyBorder="1" applyAlignment="1">
      <alignment horizontal="center" vertical="center"/>
    </xf>
    <xf numFmtId="0" fontId="12" fillId="34" borderId="16" xfId="0" applyFont="1" applyFill="1" applyBorder="1" applyAlignment="1">
      <alignment horizontal="center" vertical="center"/>
    </xf>
    <xf numFmtId="174" fontId="10" fillId="44" borderId="58" xfId="20" applyNumberFormat="1" applyFont="1" applyFill="1" applyBorder="1" applyAlignment="1">
      <alignment vertical="center"/>
    </xf>
    <xf numFmtId="0" fontId="10" fillId="24" borderId="2" xfId="0" applyFont="1" applyFill="1" applyBorder="1" applyAlignment="1">
      <alignment horizontal="left" vertical="center"/>
    </xf>
    <xf numFmtId="174" fontId="10" fillId="24" borderId="11" xfId="20" applyNumberFormat="1" applyFont="1" applyFill="1" applyBorder="1" applyAlignment="1">
      <alignment horizontal="center" vertical="center"/>
    </xf>
    <xf numFmtId="174" fontId="10" fillId="45" borderId="11" xfId="20" applyNumberFormat="1" applyFont="1" applyFill="1" applyBorder="1" applyAlignment="1">
      <alignment vertical="center"/>
    </xf>
    <xf numFmtId="174" fontId="12" fillId="11" borderId="11" xfId="20" applyNumberFormat="1" applyFont="1" applyFill="1" applyBorder="1" applyAlignment="1">
      <alignment vertical="center"/>
    </xf>
    <xf numFmtId="174" fontId="13" fillId="37" borderId="11" xfId="20" applyNumberFormat="1" applyFont="1" applyFill="1" applyBorder="1" applyAlignment="1">
      <alignment vertical="center"/>
    </xf>
    <xf numFmtId="174" fontId="16" fillId="1" borderId="11" xfId="20" applyNumberFormat="1" applyFont="1" applyFill="1" applyBorder="1" applyAlignment="1">
      <alignment vertical="center"/>
    </xf>
    <xf numFmtId="182" fontId="16" fillId="1" borderId="11" xfId="16" applyNumberFormat="1" applyFont="1" applyFill="1" applyBorder="1" applyAlignment="1">
      <alignment vertical="center"/>
    </xf>
    <xf numFmtId="174" fontId="16" fillId="19" borderId="11" xfId="20" applyNumberFormat="1" applyFont="1" applyFill="1" applyBorder="1" applyAlignment="1">
      <alignment vertical="center"/>
    </xf>
    <xf numFmtId="174" fontId="10" fillId="33" borderId="78" xfId="20" applyNumberFormat="1" applyFont="1" applyFill="1" applyBorder="1" applyAlignment="1">
      <alignment vertical="center"/>
    </xf>
    <xf numFmtId="174" fontId="13" fillId="21" borderId="11" xfId="20" applyNumberFormat="1" applyFont="1" applyFill="1" applyBorder="1" applyAlignment="1" applyProtection="1">
      <alignment vertical="center"/>
      <protection locked="0"/>
    </xf>
    <xf numFmtId="174" fontId="16" fillId="21" borderId="11" xfId="20" applyNumberFormat="1" applyFont="1" applyFill="1" applyBorder="1" applyAlignment="1" applyProtection="1">
      <alignment vertical="center"/>
      <protection locked="0"/>
    </xf>
    <xf numFmtId="182" fontId="16" fillId="21" borderId="11" xfId="16" applyNumberFormat="1" applyFont="1" applyFill="1" applyBorder="1" applyAlignment="1" applyProtection="1">
      <alignment vertical="center"/>
      <protection locked="0"/>
    </xf>
    <xf numFmtId="174" fontId="10" fillId="24" borderId="11" xfId="20" applyNumberFormat="1" applyFont="1" applyFill="1" applyBorder="1" applyAlignment="1" applyProtection="1">
      <alignment horizontal="center" vertical="center"/>
      <protection locked="0"/>
    </xf>
    <xf numFmtId="174" fontId="10" fillId="45" borderId="11" xfId="20" applyNumberFormat="1" applyFont="1" applyFill="1" applyBorder="1" applyAlignment="1" applyProtection="1">
      <alignment vertical="center"/>
      <protection locked="0"/>
    </xf>
    <xf numFmtId="181" fontId="36" fillId="0" borderId="2" xfId="0" applyNumberFormat="1" applyFont="1" applyBorder="1" applyAlignment="1">
      <alignment horizontal="left"/>
    </xf>
    <xf numFmtId="174" fontId="13" fillId="21" borderId="11" xfId="20" applyNumberFormat="1" applyFill="1" applyBorder="1" applyAlignment="1" applyProtection="1">
      <alignment vertical="center"/>
      <protection locked="0"/>
    </xf>
    <xf numFmtId="41" fontId="16" fillId="21" borderId="11" xfId="17" applyFont="1" applyFill="1" applyBorder="1" applyAlignment="1" applyProtection="1">
      <alignment vertical="center"/>
      <protection locked="0"/>
    </xf>
    <xf numFmtId="174" fontId="16" fillId="46" borderId="11" xfId="20" applyNumberFormat="1" applyFont="1" applyFill="1" applyBorder="1" applyAlignment="1" applyProtection="1">
      <alignment vertical="center"/>
      <protection locked="0"/>
    </xf>
    <xf numFmtId="41" fontId="10" fillId="46" borderId="11" xfId="17" applyFont="1" applyFill="1" applyBorder="1" applyAlignment="1" applyProtection="1">
      <alignment vertical="center"/>
      <protection locked="0"/>
    </xf>
    <xf numFmtId="174" fontId="16" fillId="35" borderId="11" xfId="20" applyNumberFormat="1" applyFont="1" applyFill="1" applyBorder="1" applyAlignment="1" applyProtection="1">
      <alignment vertical="center"/>
      <protection locked="0"/>
    </xf>
    <xf numFmtId="41" fontId="16" fillId="35" borderId="11" xfId="17" applyFont="1" applyFill="1" applyBorder="1" applyAlignment="1" applyProtection="1">
      <alignment vertical="center"/>
      <protection locked="0"/>
    </xf>
    <xf numFmtId="174" fontId="10" fillId="46" borderId="11" xfId="20" applyNumberFormat="1" applyFont="1" applyFill="1" applyBorder="1" applyAlignment="1" applyProtection="1">
      <alignment vertical="center"/>
      <protection locked="0"/>
    </xf>
    <xf numFmtId="0" fontId="12" fillId="25" borderId="6" xfId="0" applyFont="1" applyFill="1" applyBorder="1" applyAlignment="1">
      <alignment horizontal="center" vertical="center"/>
    </xf>
    <xf numFmtId="0" fontId="10" fillId="23" borderId="2" xfId="0" applyFont="1" applyFill="1" applyBorder="1" applyAlignment="1">
      <alignment horizontal="left" vertical="center"/>
    </xf>
    <xf numFmtId="174" fontId="10" fillId="23" borderId="11" xfId="20" applyNumberFormat="1" applyFont="1" applyFill="1" applyBorder="1" applyAlignment="1" applyProtection="1">
      <alignment horizontal="center" vertical="center"/>
      <protection locked="0"/>
    </xf>
    <xf numFmtId="174" fontId="10" fillId="12" borderId="11" xfId="20" applyNumberFormat="1" applyFont="1" applyFill="1" applyBorder="1" applyAlignment="1" applyProtection="1">
      <alignment vertical="center"/>
      <protection locked="0"/>
    </xf>
    <xf numFmtId="174" fontId="10" fillId="23" borderId="38" xfId="20" applyNumberFormat="1" applyFont="1" applyFill="1" applyBorder="1" applyAlignment="1" applyProtection="1">
      <alignment horizontal="center" vertical="center"/>
      <protection locked="0"/>
    </xf>
    <xf numFmtId="174" fontId="10" fillId="11" borderId="11" xfId="20" applyNumberFormat="1" applyFont="1" applyFill="1" applyBorder="1" applyAlignment="1" applyProtection="1">
      <alignment vertical="center"/>
      <protection locked="0"/>
    </xf>
    <xf numFmtId="174" fontId="10" fillId="24" borderId="11" xfId="20" applyNumberFormat="1" applyFont="1" applyFill="1" applyBorder="1" applyAlignment="1">
      <alignment vertical="center"/>
    </xf>
    <xf numFmtId="174" fontId="10" fillId="24" borderId="78" xfId="20" applyNumberFormat="1" applyFont="1" applyFill="1" applyBorder="1" applyAlignment="1">
      <alignment vertical="center"/>
    </xf>
    <xf numFmtId="41" fontId="10" fillId="11" borderId="11" xfId="17" applyFont="1" applyFill="1" applyBorder="1" applyAlignment="1" applyProtection="1">
      <alignment vertical="center"/>
      <protection locked="0"/>
    </xf>
    <xf numFmtId="174" fontId="10" fillId="33" borderId="85" xfId="20" applyNumberFormat="1" applyFont="1" applyFill="1" applyBorder="1" applyAlignment="1">
      <alignment vertical="center"/>
    </xf>
    <xf numFmtId="0" fontId="12" fillId="26" borderId="89" xfId="0" applyFont="1" applyFill="1" applyBorder="1" applyAlignment="1">
      <alignment horizontal="center" vertical="center" wrapText="1"/>
    </xf>
    <xf numFmtId="0" fontId="12" fillId="27" borderId="87" xfId="0" applyFont="1" applyFill="1" applyBorder="1" applyAlignment="1">
      <alignment vertical="center"/>
    </xf>
    <xf numFmtId="173" fontId="12" fillId="27" borderId="88" xfId="20" applyNumberFormat="1" applyFont="1" applyFill="1" applyBorder="1" applyAlignment="1">
      <alignment vertical="center"/>
    </xf>
    <xf numFmtId="0" fontId="12" fillId="47" borderId="23" xfId="0" applyFont="1" applyFill="1" applyBorder="1" applyAlignment="1">
      <alignment horizontal="center" vertical="center" wrapText="1"/>
    </xf>
    <xf numFmtId="180" fontId="12" fillId="47" borderId="23" xfId="16" applyNumberFormat="1" applyFont="1" applyFill="1" applyBorder="1" applyAlignment="1">
      <alignment horizontal="center" vertical="center" wrapText="1"/>
    </xf>
    <xf numFmtId="0" fontId="10" fillId="47" borderId="23" xfId="0" applyFont="1" applyFill="1" applyBorder="1" applyAlignment="1">
      <alignment horizontal="center" vertical="center"/>
    </xf>
    <xf numFmtId="0" fontId="10" fillId="24" borderId="2" xfId="0" applyFont="1" applyFill="1" applyBorder="1" applyAlignment="1">
      <alignment horizontal="left" vertical="center"/>
    </xf>
    <xf numFmtId="174" fontId="10" fillId="24" borderId="11" xfId="20" applyNumberFormat="1" applyFont="1" applyFill="1" applyBorder="1" applyAlignment="1">
      <alignment horizontal="center" vertical="center"/>
    </xf>
    <xf numFmtId="174" fontId="10" fillId="39" borderId="11" xfId="20" applyNumberFormat="1" applyFont="1" applyFill="1" applyBorder="1" applyAlignment="1">
      <alignment vertical="center"/>
    </xf>
    <xf numFmtId="174" fontId="12" fillId="11" borderId="11" xfId="20" applyNumberFormat="1" applyFont="1" applyFill="1" applyBorder="1" applyAlignment="1">
      <alignment vertical="center"/>
    </xf>
    <xf numFmtId="174" fontId="13" fillId="37" borderId="11" xfId="20" applyNumberFormat="1" applyFont="1" applyFill="1" applyBorder="1" applyAlignment="1">
      <alignment vertical="center"/>
    </xf>
    <xf numFmtId="174" fontId="16" fillId="19" borderId="11" xfId="20" applyNumberFormat="1" applyFont="1" applyFill="1" applyBorder="1" applyAlignment="1">
      <alignment vertical="center"/>
    </xf>
    <xf numFmtId="182" fontId="16" fillId="19" borderId="11" xfId="16" applyNumberFormat="1" applyFont="1" applyFill="1" applyBorder="1" applyAlignment="1">
      <alignment vertical="center"/>
    </xf>
    <xf numFmtId="174" fontId="10" fillId="33" borderId="78" xfId="20" applyNumberFormat="1" applyFont="1" applyFill="1" applyBorder="1" applyAlignment="1">
      <alignment vertical="center"/>
    </xf>
    <xf numFmtId="174" fontId="13" fillId="21" borderId="11" xfId="20" applyNumberFormat="1" applyFont="1" applyFill="1" applyBorder="1" applyAlignment="1" applyProtection="1">
      <alignment vertical="center"/>
      <protection locked="0"/>
    </xf>
    <xf numFmtId="174" fontId="16" fillId="21" borderId="11" xfId="20" applyNumberFormat="1" applyFont="1" applyFill="1" applyBorder="1" applyAlignment="1" applyProtection="1">
      <alignment vertical="center"/>
      <protection locked="0"/>
    </xf>
    <xf numFmtId="182" fontId="16" fillId="21" borderId="11" xfId="16" applyNumberFormat="1" applyFont="1" applyFill="1" applyBorder="1" applyAlignment="1" applyProtection="1">
      <alignment vertical="center"/>
      <protection locked="0"/>
    </xf>
    <xf numFmtId="181" fontId="36" fillId="0" borderId="2" xfId="0" applyNumberFormat="1" applyFont="1" applyBorder="1" applyAlignment="1">
      <alignment horizontal="left"/>
    </xf>
    <xf numFmtId="0" fontId="12" fillId="25" borderId="6" xfId="0" applyFont="1" applyFill="1" applyBorder="1" applyAlignment="1">
      <alignment horizontal="center" vertical="center"/>
    </xf>
    <xf numFmtId="0" fontId="10" fillId="23" borderId="2" xfId="0" applyFont="1" applyFill="1" applyBorder="1" applyAlignment="1">
      <alignment horizontal="left" vertical="center"/>
    </xf>
    <xf numFmtId="174" fontId="10" fillId="40" borderId="11" xfId="20" applyNumberFormat="1" applyFont="1" applyFill="1" applyBorder="1" applyAlignment="1">
      <alignment vertical="center"/>
    </xf>
    <xf numFmtId="174" fontId="10" fillId="24" borderId="38" xfId="20" applyNumberFormat="1" applyFont="1" applyFill="1" applyBorder="1" applyAlignment="1">
      <alignment horizontal="center" vertical="center"/>
    </xf>
    <xf numFmtId="182" fontId="13" fillId="21" borderId="11" xfId="16" applyNumberFormat="1" applyFill="1" applyBorder="1" applyProtection="1">
      <protection locked="0"/>
    </xf>
    <xf numFmtId="174" fontId="16" fillId="41" borderId="11" xfId="20" applyNumberFormat="1" applyFont="1" applyFill="1" applyBorder="1" applyAlignment="1">
      <alignment vertical="center"/>
    </xf>
    <xf numFmtId="182" fontId="13" fillId="41" borderId="11" xfId="16" applyNumberFormat="1" applyFill="1" applyBorder="1"/>
    <xf numFmtId="174" fontId="10" fillId="24" borderId="11" xfId="20" applyNumberFormat="1" applyFont="1" applyFill="1" applyBorder="1" applyAlignment="1">
      <alignment vertical="center"/>
    </xf>
    <xf numFmtId="174" fontId="16" fillId="42" borderId="11" xfId="20" applyNumberFormat="1" applyFont="1" applyFill="1" applyBorder="1" applyAlignment="1">
      <alignment vertical="center"/>
    </xf>
    <xf numFmtId="182" fontId="13" fillId="19" borderId="11" xfId="16" applyNumberFormat="1" applyFill="1" applyBorder="1"/>
    <xf numFmtId="174" fontId="10" fillId="33" borderId="85" xfId="20" applyNumberFormat="1" applyFont="1" applyFill="1" applyBorder="1" applyAlignment="1">
      <alignment vertical="center"/>
    </xf>
    <xf numFmtId="0" fontId="12" fillId="26" borderId="86" xfId="0" applyFont="1" applyFill="1" applyBorder="1" applyAlignment="1">
      <alignment horizontal="center" vertical="center" wrapText="1"/>
    </xf>
    <xf numFmtId="0" fontId="12" fillId="27" borderId="87" xfId="0" applyFont="1" applyFill="1" applyBorder="1" applyAlignment="1">
      <alignment vertical="center"/>
    </xf>
    <xf numFmtId="173" fontId="12" fillId="27" borderId="88" xfId="20" applyNumberFormat="1" applyFont="1" applyFill="1" applyBorder="1" applyAlignment="1">
      <alignment vertical="center"/>
    </xf>
    <xf numFmtId="174" fontId="10" fillId="23" borderId="11" xfId="20" applyNumberFormat="1" applyFont="1" applyFill="1" applyBorder="1" applyAlignment="1">
      <alignment horizontal="center" vertical="center"/>
    </xf>
    <xf numFmtId="174" fontId="12" fillId="34" borderId="16" xfId="20" applyNumberFormat="1" applyFont="1" applyFill="1" applyBorder="1" applyAlignment="1">
      <alignment horizontal="center" vertical="center"/>
    </xf>
    <xf numFmtId="0" fontId="12" fillId="34" borderId="16" xfId="0" applyFont="1" applyFill="1" applyBorder="1" applyAlignment="1">
      <alignment horizontal="center" vertical="center"/>
    </xf>
    <xf numFmtId="173" fontId="37" fillId="48" borderId="64" xfId="0" applyNumberFormat="1" applyFont="1" applyFill="1" applyBorder="1" applyAlignment="1">
      <alignment vertical="center"/>
    </xf>
    <xf numFmtId="174" fontId="13" fillId="19" borderId="58" xfId="20" applyNumberFormat="1" applyFont="1" applyFill="1" applyBorder="1" applyAlignment="1">
      <alignment vertical="center"/>
    </xf>
    <xf numFmtId="174" fontId="13" fillId="28" borderId="58" xfId="20" applyNumberFormat="1" applyFont="1" applyFill="1" applyBorder="1" applyAlignment="1">
      <alignment vertical="center"/>
    </xf>
    <xf numFmtId="174" fontId="0" fillId="0" borderId="58" xfId="20" applyNumberFormat="1" applyFont="1" applyBorder="1" applyAlignment="1">
      <alignment vertical="center"/>
    </xf>
    <xf numFmtId="176" fontId="0" fillId="0" borderId="58" xfId="0" applyNumberFormat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4" fontId="13" fillId="19" borderId="23" xfId="20" applyNumberFormat="1" applyFont="1" applyFill="1" applyBorder="1" applyAlignment="1">
      <alignment vertical="center"/>
    </xf>
    <xf numFmtId="174" fontId="0" fillId="0" borderId="23" xfId="20" applyNumberFormat="1" applyFont="1" applyBorder="1" applyAlignment="1">
      <alignment vertical="center"/>
    </xf>
    <xf numFmtId="176" fontId="0" fillId="0" borderId="23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174" fontId="12" fillId="22" borderId="19" xfId="0" applyNumberFormat="1" applyFont="1" applyFill="1" applyBorder="1" applyAlignment="1">
      <alignment horizontal="center" vertical="center" wrapText="1"/>
    </xf>
    <xf numFmtId="174" fontId="12" fillId="13" borderId="19" xfId="0" applyNumberFormat="1" applyFont="1" applyFill="1" applyBorder="1" applyAlignment="1">
      <alignment horizontal="center" vertical="center" wrapText="1"/>
    </xf>
    <xf numFmtId="174" fontId="12" fillId="13" borderId="54" xfId="0" applyNumberFormat="1" applyFont="1" applyFill="1" applyBorder="1" applyAlignment="1">
      <alignment horizontal="center" vertical="center" wrapText="1"/>
    </xf>
    <xf numFmtId="173" fontId="0" fillId="0" borderId="24" xfId="20" applyNumberFormat="1" applyFont="1" applyBorder="1" applyAlignment="1">
      <alignment vertical="center"/>
    </xf>
    <xf numFmtId="173" fontId="0" fillId="0" borderId="34" xfId="20" applyNumberFormat="1" applyFont="1" applyBorder="1" applyAlignment="1">
      <alignment vertical="center"/>
    </xf>
    <xf numFmtId="173" fontId="0" fillId="0" borderId="39" xfId="20" applyNumberFormat="1" applyFont="1" applyBorder="1" applyAlignment="1">
      <alignment vertical="center"/>
    </xf>
    <xf numFmtId="174" fontId="12" fillId="22" borderId="53" xfId="0" applyNumberFormat="1" applyFont="1" applyFill="1" applyBorder="1" applyAlignment="1">
      <alignment horizontal="center" vertical="center" wrapText="1"/>
    </xf>
    <xf numFmtId="174" fontId="12" fillId="22" borderId="54" xfId="0" applyNumberFormat="1" applyFont="1" applyFill="1" applyBorder="1" applyAlignment="1">
      <alignment horizontal="center" vertical="center" wrapText="1"/>
    </xf>
    <xf numFmtId="174" fontId="13" fillId="19" borderId="43" xfId="20" applyNumberFormat="1" applyFont="1" applyFill="1" applyBorder="1" applyAlignment="1">
      <alignment vertical="center"/>
    </xf>
    <xf numFmtId="174" fontId="13" fillId="19" borderId="40" xfId="20" applyNumberFormat="1" applyFont="1" applyFill="1" applyBorder="1" applyAlignment="1">
      <alignment vertical="center"/>
    </xf>
    <xf numFmtId="174" fontId="13" fillId="19" borderId="41" xfId="20" applyNumberFormat="1" applyFont="1" applyFill="1" applyBorder="1" applyAlignment="1">
      <alignment vertical="center"/>
    </xf>
    <xf numFmtId="174" fontId="13" fillId="36" borderId="38" xfId="20" applyNumberFormat="1" applyFont="1" applyFill="1" applyBorder="1" applyAlignment="1">
      <alignment vertical="center"/>
    </xf>
    <xf numFmtId="174" fontId="12" fillId="13" borderId="53" xfId="0" applyNumberFormat="1" applyFont="1" applyFill="1" applyBorder="1" applyAlignment="1">
      <alignment horizontal="center" vertical="center" wrapText="1"/>
    </xf>
    <xf numFmtId="174" fontId="13" fillId="28" borderId="43" xfId="20" applyNumberFormat="1" applyFont="1" applyFill="1" applyBorder="1" applyAlignment="1">
      <alignment vertical="center"/>
    </xf>
    <xf numFmtId="174" fontId="13" fillId="28" borderId="40" xfId="20" applyNumberFormat="1" applyFont="1" applyFill="1" applyBorder="1" applyAlignment="1">
      <alignment vertical="center"/>
    </xf>
    <xf numFmtId="174" fontId="0" fillId="0" borderId="43" xfId="20" applyNumberFormat="1" applyFont="1" applyBorder="1" applyAlignment="1">
      <alignment vertical="center"/>
    </xf>
    <xf numFmtId="174" fontId="0" fillId="0" borderId="40" xfId="20" applyNumberFormat="1" applyFont="1" applyBorder="1" applyAlignment="1">
      <alignment vertical="center"/>
    </xf>
    <xf numFmtId="174" fontId="0" fillId="0" borderId="36" xfId="20" applyNumberFormat="1" applyFont="1" applyBorder="1" applyAlignment="1">
      <alignment vertical="center"/>
    </xf>
    <xf numFmtId="174" fontId="0" fillId="0" borderId="41" xfId="20" applyNumberFormat="1" applyFont="1" applyBorder="1" applyAlignment="1">
      <alignment vertical="center"/>
    </xf>
    <xf numFmtId="174" fontId="12" fillId="22" borderId="10" xfId="0" applyNumberFormat="1" applyFont="1" applyFill="1" applyBorder="1" applyAlignment="1">
      <alignment horizontal="center" vertical="center" wrapText="1"/>
    </xf>
    <xf numFmtId="186" fontId="13" fillId="28" borderId="42" xfId="32" applyNumberFormat="1" applyFill="1" applyBorder="1" applyAlignment="1">
      <alignment horizontal="center" vertical="center"/>
    </xf>
    <xf numFmtId="186" fontId="13" fillId="28" borderId="30" xfId="32" applyNumberFormat="1" applyFill="1" applyBorder="1" applyAlignment="1">
      <alignment horizontal="center" vertical="center"/>
    </xf>
    <xf numFmtId="174" fontId="13" fillId="19" borderId="53" xfId="20" applyNumberFormat="1" applyFont="1" applyFill="1" applyBorder="1" applyAlignment="1">
      <alignment vertical="center"/>
    </xf>
    <xf numFmtId="174" fontId="13" fillId="19" borderId="19" xfId="20" applyNumberFormat="1" applyFont="1" applyFill="1" applyBorder="1" applyAlignment="1">
      <alignment vertical="center"/>
    </xf>
    <xf numFmtId="174" fontId="13" fillId="19" borderId="90" xfId="20" applyNumberFormat="1" applyFont="1" applyFill="1" applyBorder="1" applyAlignment="1">
      <alignment vertical="center"/>
    </xf>
    <xf numFmtId="174" fontId="13" fillId="19" borderId="43" xfId="20" applyNumberFormat="1" applyFont="1" applyFill="1" applyBorder="1" applyAlignment="1">
      <alignment vertical="center"/>
    </xf>
    <xf numFmtId="174" fontId="13" fillId="0" borderId="38" xfId="20" applyNumberFormat="1" applyBorder="1" applyAlignment="1">
      <alignment vertical="center"/>
    </xf>
    <xf numFmtId="179" fontId="0" fillId="0" borderId="38" xfId="16" applyNumberFormat="1" applyFont="1" applyBorder="1" applyAlignment="1">
      <alignment vertical="center"/>
    </xf>
    <xf numFmtId="174" fontId="12" fillId="49" borderId="38" xfId="20" applyNumberFormat="1" applyFont="1" applyFill="1" applyBorder="1" applyAlignment="1">
      <alignment vertical="center"/>
    </xf>
    <xf numFmtId="174" fontId="13" fillId="1" borderId="38" xfId="20" applyNumberFormat="1" applyFill="1" applyBorder="1" applyAlignment="1">
      <alignment vertical="center"/>
    </xf>
    <xf numFmtId="179" fontId="0" fillId="1" borderId="38" xfId="16" applyNumberFormat="1" applyFont="1" applyFill="1" applyBorder="1" applyAlignment="1">
      <alignment vertical="center"/>
    </xf>
    <xf numFmtId="174" fontId="0" fillId="0" borderId="38" xfId="20" applyNumberFormat="1" applyFont="1" applyBorder="1" applyAlignment="1">
      <alignment vertical="center"/>
    </xf>
    <xf numFmtId="184" fontId="13" fillId="37" borderId="24" xfId="20" applyNumberFormat="1" applyFont="1" applyFill="1" applyBorder="1" applyAlignment="1">
      <alignment vertical="center"/>
    </xf>
    <xf numFmtId="184" fontId="13" fillId="19" borderId="42" xfId="20" applyNumberFormat="1" applyFont="1" applyFill="1" applyBorder="1" applyAlignment="1">
      <alignment vertical="center"/>
    </xf>
    <xf numFmtId="0" fontId="0" fillId="37" borderId="43" xfId="0" applyFill="1" applyBorder="1" applyAlignment="1">
      <alignment horizontal="left" vertical="center"/>
    </xf>
    <xf numFmtId="0" fontId="0" fillId="37" borderId="41" xfId="0" applyFill="1" applyBorder="1" applyAlignment="1">
      <alignment horizontal="left" vertical="center"/>
    </xf>
    <xf numFmtId="187" fontId="13" fillId="21" borderId="11" xfId="20" applyNumberFormat="1" applyFill="1" applyBorder="1"/>
    <xf numFmtId="187" fontId="13" fillId="21" borderId="11" xfId="20" applyNumberFormat="1" applyFill="1" applyBorder="1"/>
    <xf numFmtId="174" fontId="13" fillId="50" borderId="11" xfId="20" applyNumberFormat="1" applyFont="1" applyFill="1" applyBorder="1" applyAlignment="1">
      <alignment vertical="center"/>
    </xf>
    <xf numFmtId="174" fontId="13" fillId="50" borderId="11" xfId="20" applyNumberFormat="1" applyFont="1" applyFill="1" applyBorder="1" applyAlignment="1">
      <alignment vertical="center"/>
    </xf>
    <xf numFmtId="0" fontId="12" fillId="18" borderId="28" xfId="0" applyFont="1" applyFill="1" applyBorder="1" applyAlignment="1">
      <alignment horizontal="center" vertical="center" wrapText="1"/>
    </xf>
    <xf numFmtId="0" fontId="28" fillId="34" borderId="0" xfId="29" applyFill="1"/>
    <xf numFmtId="0" fontId="30" fillId="51" borderId="147" xfId="29" applyFont="1" applyFill="1" applyBorder="1" applyAlignment="1">
      <alignment horizontal="center" vertical="center"/>
    </xf>
    <xf numFmtId="0" fontId="30" fillId="52" borderId="147" xfId="29" applyFont="1" applyFill="1" applyBorder="1" applyAlignment="1">
      <alignment horizontal="center" vertical="center" wrapText="1"/>
    </xf>
    <xf numFmtId="0" fontId="30" fillId="34" borderId="0" xfId="29" applyFont="1" applyFill="1" applyAlignment="1">
      <alignment horizontal="right"/>
    </xf>
    <xf numFmtId="1" fontId="38" fillId="34" borderId="147" xfId="19" applyNumberFormat="1" applyFont="1" applyFill="1" applyBorder="1" applyAlignment="1">
      <alignment horizontal="center" vertical="center"/>
    </xf>
    <xf numFmtId="1" fontId="38" fillId="34" borderId="0" xfId="19" applyNumberFormat="1" applyFont="1" applyFill="1" applyBorder="1" applyAlignment="1">
      <alignment horizontal="center" vertical="center"/>
    </xf>
    <xf numFmtId="0" fontId="30" fillId="30" borderId="0" xfId="29" applyFont="1" applyFill="1" applyAlignment="1">
      <alignment horizontal="left" vertical="center" indent="1"/>
    </xf>
    <xf numFmtId="0" fontId="28" fillId="34" borderId="0" xfId="29" applyFill="1" applyAlignment="1">
      <alignment horizontal="left" indent="2"/>
    </xf>
    <xf numFmtId="192" fontId="28" fillId="34" borderId="0" xfId="29" applyNumberFormat="1" applyFill="1"/>
    <xf numFmtId="192" fontId="30" fillId="34" borderId="0" xfId="29" applyNumberFormat="1" applyFont="1" applyFill="1"/>
    <xf numFmtId="0" fontId="30" fillId="51" borderId="11" xfId="29" applyFont="1" applyFill="1" applyBorder="1" applyAlignment="1">
      <alignment horizontal="left" indent="2"/>
    </xf>
    <xf numFmtId="192" fontId="30" fillId="51" borderId="11" xfId="29" applyNumberFormat="1" applyFont="1" applyFill="1" applyBorder="1"/>
    <xf numFmtId="174" fontId="12" fillId="22" borderId="13" xfId="0" applyNumberFormat="1" applyFont="1" applyFill="1" applyBorder="1" applyAlignment="1">
      <alignment horizontal="center" vertical="center" wrapText="1"/>
    </xf>
    <xf numFmtId="185" fontId="13" fillId="21" borderId="24" xfId="20" applyNumberFormat="1" applyFont="1" applyFill="1" applyBorder="1" applyAlignment="1" applyProtection="1">
      <alignment horizontal="center" vertical="center"/>
      <protection locked="0"/>
    </xf>
    <xf numFmtId="185" fontId="13" fillId="21" borderId="90" xfId="20" applyNumberFormat="1" applyFont="1" applyFill="1" applyBorder="1" applyAlignment="1" applyProtection="1">
      <alignment horizontal="center" vertical="center"/>
      <protection locked="0"/>
    </xf>
    <xf numFmtId="185" fontId="13" fillId="21" borderId="34" xfId="20" applyNumberFormat="1" applyFont="1" applyFill="1" applyBorder="1" applyAlignment="1" applyProtection="1">
      <alignment horizontal="center" vertical="center"/>
      <protection locked="0"/>
    </xf>
    <xf numFmtId="174" fontId="12" fillId="22" borderId="4" xfId="0" applyNumberFormat="1" applyFont="1" applyFill="1" applyBorder="1" applyAlignment="1">
      <alignment horizontal="center" vertical="center" wrapText="1"/>
    </xf>
    <xf numFmtId="185" fontId="13" fillId="21" borderId="42" xfId="20" applyNumberFormat="1" applyFont="1" applyFill="1" applyBorder="1" applyAlignment="1" applyProtection="1">
      <alignment horizontal="center" vertical="center"/>
      <protection locked="0"/>
    </xf>
    <xf numFmtId="185" fontId="13" fillId="21" borderId="17" xfId="20" applyNumberFormat="1" applyFont="1" applyFill="1" applyBorder="1" applyAlignment="1" applyProtection="1">
      <alignment horizontal="center" vertical="center"/>
      <protection locked="0"/>
    </xf>
    <xf numFmtId="185" fontId="13" fillId="21" borderId="30" xfId="20" applyNumberFormat="1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85" fontId="12" fillId="19" borderId="26" xfId="0" applyNumberFormat="1" applyFont="1" applyFill="1" applyBorder="1" applyAlignment="1">
      <alignment horizontal="center" vertical="center"/>
    </xf>
    <xf numFmtId="185" fontId="12" fillId="19" borderId="29" xfId="0" applyNumberFormat="1" applyFont="1" applyFill="1" applyBorder="1" applyAlignment="1">
      <alignment horizontal="center" vertical="center"/>
    </xf>
    <xf numFmtId="185" fontId="12" fillId="19" borderId="25" xfId="0" applyNumberFormat="1" applyFont="1" applyFill="1" applyBorder="1" applyAlignment="1">
      <alignment horizontal="center" vertical="center"/>
    </xf>
    <xf numFmtId="185" fontId="12" fillId="51" borderId="61" xfId="0" applyNumberFormat="1" applyFont="1" applyFill="1" applyBorder="1" applyAlignment="1">
      <alignment horizontal="center" vertical="center"/>
    </xf>
    <xf numFmtId="176" fontId="13" fillId="37" borderId="64" xfId="20" applyNumberFormat="1" applyFont="1" applyFill="1" applyBorder="1" applyAlignment="1">
      <alignment horizontal="center" vertical="center"/>
    </xf>
    <xf numFmtId="184" fontId="13" fillId="19" borderId="64" xfId="20" applyNumberFormat="1" applyFont="1" applyFill="1" applyBorder="1" applyAlignment="1">
      <alignment vertical="center"/>
    </xf>
    <xf numFmtId="0" fontId="0" fillId="37" borderId="24" xfId="0" applyFill="1" applyBorder="1" applyAlignment="1">
      <alignment horizontal="left" vertical="center"/>
    </xf>
    <xf numFmtId="184" fontId="13" fillId="37" borderId="31" xfId="20" applyNumberFormat="1" applyFont="1" applyFill="1" applyBorder="1" applyAlignment="1">
      <alignment vertical="center"/>
    </xf>
    <xf numFmtId="184" fontId="13" fillId="37" borderId="58" xfId="20" applyNumberFormat="1" applyFont="1" applyFill="1" applyBorder="1" applyAlignment="1">
      <alignment vertical="center"/>
    </xf>
    <xf numFmtId="176" fontId="13" fillId="37" borderId="58" xfId="20" applyNumberFormat="1" applyFont="1" applyFill="1" applyBorder="1" applyAlignment="1">
      <alignment horizontal="center" vertical="center"/>
    </xf>
    <xf numFmtId="184" fontId="13" fillId="19" borderId="58" xfId="20" applyNumberFormat="1" applyFont="1" applyFill="1" applyBorder="1" applyAlignment="1">
      <alignment vertical="center"/>
    </xf>
    <xf numFmtId="184" fontId="13" fillId="19" borderId="43" xfId="20" applyNumberFormat="1" applyFont="1" applyFill="1" applyBorder="1" applyAlignment="1">
      <alignment vertical="center"/>
    </xf>
    <xf numFmtId="0" fontId="0" fillId="37" borderId="34" xfId="0" applyFill="1" applyBorder="1" applyAlignment="1">
      <alignment horizontal="left" vertical="center"/>
    </xf>
    <xf numFmtId="184" fontId="13" fillId="37" borderId="40" xfId="20" applyNumberFormat="1" applyFont="1" applyFill="1" applyBorder="1" applyAlignment="1">
      <alignment vertical="center"/>
    </xf>
    <xf numFmtId="184" fontId="13" fillId="19" borderId="30" xfId="20" applyNumberFormat="1" applyFont="1" applyFill="1" applyBorder="1" applyAlignment="1">
      <alignment vertical="center"/>
    </xf>
    <xf numFmtId="184" fontId="13" fillId="37" borderId="42" xfId="20" applyNumberFormat="1" applyFont="1" applyFill="1" applyBorder="1" applyAlignment="1">
      <alignment vertical="center"/>
    </xf>
    <xf numFmtId="184" fontId="13" fillId="37" borderId="30" xfId="20" applyNumberFormat="1" applyFont="1" applyFill="1" applyBorder="1" applyAlignment="1">
      <alignment vertical="center"/>
    </xf>
    <xf numFmtId="184" fontId="13" fillId="37" borderId="23" xfId="20" applyNumberFormat="1" applyFont="1" applyFill="1" applyBorder="1" applyAlignment="1">
      <alignment vertical="center"/>
    </xf>
    <xf numFmtId="184" fontId="13" fillId="37" borderId="34" xfId="20" applyNumberFormat="1" applyFont="1" applyFill="1" applyBorder="1" applyAlignment="1">
      <alignment vertical="center"/>
    </xf>
    <xf numFmtId="176" fontId="13" fillId="37" borderId="23" xfId="20" applyNumberFormat="1" applyFont="1" applyFill="1" applyBorder="1" applyAlignment="1">
      <alignment horizontal="center" vertical="center"/>
    </xf>
    <xf numFmtId="184" fontId="13" fillId="19" borderId="23" xfId="20" applyNumberFormat="1" applyFont="1" applyFill="1" applyBorder="1" applyAlignment="1">
      <alignment vertical="center"/>
    </xf>
    <xf numFmtId="184" fontId="13" fillId="19" borderId="41" xfId="20" applyNumberFormat="1" applyFont="1" applyFill="1" applyBorder="1" applyAlignment="1">
      <alignment vertical="center"/>
    </xf>
    <xf numFmtId="184" fontId="13" fillId="53" borderId="11" xfId="20" applyNumberFormat="1" applyFont="1" applyFill="1" applyBorder="1" applyAlignment="1">
      <alignment vertical="center"/>
    </xf>
    <xf numFmtId="184" fontId="13" fillId="19" borderId="58" xfId="20" applyNumberFormat="1" applyFill="1" applyBorder="1" applyAlignment="1">
      <alignment vertical="center"/>
    </xf>
    <xf numFmtId="184" fontId="13" fillId="53" borderId="38" xfId="20" applyNumberFormat="1" applyFont="1" applyFill="1" applyBorder="1" applyAlignment="1">
      <alignment vertical="center"/>
    </xf>
    <xf numFmtId="174" fontId="12" fillId="22" borderId="74" xfId="0" applyNumberFormat="1" applyFont="1" applyFill="1" applyBorder="1" applyAlignment="1">
      <alignment horizontal="center" vertical="center" wrapText="1"/>
    </xf>
    <xf numFmtId="174" fontId="12" fillId="22" borderId="75" xfId="0" applyNumberFormat="1" applyFont="1" applyFill="1" applyBorder="1" applyAlignment="1">
      <alignment horizontal="center" vertical="center" wrapText="1"/>
    </xf>
    <xf numFmtId="174" fontId="12" fillId="13" borderId="91" xfId="0" applyNumberFormat="1" applyFont="1" applyFill="1" applyBorder="1" applyAlignment="1">
      <alignment horizontal="center" vertical="center" wrapText="1"/>
    </xf>
    <xf numFmtId="174" fontId="12" fillId="13" borderId="19" xfId="0" applyNumberFormat="1" applyFont="1" applyFill="1" applyBorder="1" applyAlignment="1">
      <alignment horizontal="center" vertical="center" wrapText="1"/>
    </xf>
    <xf numFmtId="174" fontId="12" fillId="13" borderId="75" xfId="0" applyNumberFormat="1" applyFont="1" applyFill="1" applyBorder="1" applyAlignment="1">
      <alignment horizontal="center" vertical="center" wrapText="1"/>
    </xf>
    <xf numFmtId="174" fontId="12" fillId="13" borderId="68" xfId="0" applyNumberFormat="1" applyFont="1" applyFill="1" applyBorder="1" applyAlignment="1">
      <alignment horizontal="center" vertical="center" wrapText="1"/>
    </xf>
    <xf numFmtId="176" fontId="13" fillId="21" borderId="31" xfId="20" applyNumberFormat="1" applyFont="1" applyFill="1" applyBorder="1" applyAlignment="1" applyProtection="1">
      <alignment horizontal="center" vertical="center"/>
      <protection locked="0"/>
    </xf>
    <xf numFmtId="176" fontId="13" fillId="37" borderId="43" xfId="20" applyNumberFormat="1" applyFont="1" applyFill="1" applyBorder="1" applyAlignment="1">
      <alignment horizontal="center" vertical="center"/>
    </xf>
    <xf numFmtId="176" fontId="13" fillId="21" borderId="40" xfId="20" applyNumberFormat="1" applyFont="1" applyFill="1" applyBorder="1" applyAlignment="1" applyProtection="1">
      <alignment horizontal="center" vertical="center"/>
      <protection locked="0"/>
    </xf>
    <xf numFmtId="176" fontId="13" fillId="37" borderId="41" xfId="20" applyNumberFormat="1" applyFont="1" applyFill="1" applyBorder="1" applyAlignment="1">
      <alignment horizontal="center" vertical="center"/>
    </xf>
    <xf numFmtId="174" fontId="12" fillId="22" borderId="17" xfId="0" applyNumberFormat="1" applyFont="1" applyFill="1" applyBorder="1" applyAlignment="1">
      <alignment horizontal="center" vertical="center" wrapText="1"/>
    </xf>
    <xf numFmtId="184" fontId="13" fillId="19" borderId="16" xfId="20" applyNumberFormat="1" applyFont="1" applyFill="1" applyBorder="1" applyAlignment="1">
      <alignment vertical="center"/>
    </xf>
    <xf numFmtId="184" fontId="13" fillId="19" borderId="30" xfId="20" applyNumberFormat="1" applyFill="1" applyBorder="1" applyAlignment="1">
      <alignment vertical="center"/>
    </xf>
    <xf numFmtId="174" fontId="12" fillId="13" borderId="67" xfId="0" applyNumberFormat="1" applyFont="1" applyFill="1" applyBorder="1" applyAlignment="1">
      <alignment horizontal="center" vertical="center" wrapText="1"/>
    </xf>
    <xf numFmtId="174" fontId="12" fillId="13" borderId="10" xfId="0" applyNumberFormat="1" applyFont="1" applyFill="1" applyBorder="1" applyAlignment="1">
      <alignment horizontal="center" vertical="center" wrapText="1"/>
    </xf>
    <xf numFmtId="176" fontId="13" fillId="21" borderId="36" xfId="20" applyNumberFormat="1" applyFont="1" applyFill="1" applyBorder="1" applyAlignment="1" applyProtection="1">
      <alignment horizontal="center" vertical="center"/>
      <protection locked="0"/>
    </xf>
    <xf numFmtId="0" fontId="0" fillId="37" borderId="39" xfId="0" applyFill="1" applyBorder="1" applyAlignment="1">
      <alignment horizontal="left" vertical="center"/>
    </xf>
    <xf numFmtId="174" fontId="12" fillId="22" borderId="67" xfId="0" applyNumberFormat="1" applyFont="1" applyFill="1" applyBorder="1" applyAlignment="1">
      <alignment horizontal="center" vertical="center" wrapText="1"/>
    </xf>
    <xf numFmtId="174" fontId="12" fillId="22" borderId="68" xfId="0" applyNumberFormat="1" applyFont="1" applyFill="1" applyBorder="1" applyAlignment="1">
      <alignment horizontal="center" vertical="center" wrapText="1"/>
    </xf>
    <xf numFmtId="184" fontId="13" fillId="19" borderId="31" xfId="20" applyNumberFormat="1" applyFill="1" applyBorder="1" applyAlignment="1">
      <alignment vertical="center"/>
    </xf>
    <xf numFmtId="184" fontId="13" fillId="19" borderId="43" xfId="20" applyNumberFormat="1" applyFill="1" applyBorder="1" applyAlignment="1">
      <alignment vertical="center"/>
    </xf>
    <xf numFmtId="184" fontId="13" fillId="19" borderId="36" xfId="20" applyNumberFormat="1" applyFill="1" applyBorder="1" applyAlignment="1">
      <alignment vertical="center"/>
    </xf>
    <xf numFmtId="184" fontId="13" fillId="37" borderId="40" xfId="20" applyNumberFormat="1" applyFill="1" applyBorder="1" applyAlignment="1">
      <alignment vertical="center"/>
    </xf>
    <xf numFmtId="184" fontId="13" fillId="37" borderId="23" xfId="20" applyNumberFormat="1" applyFill="1" applyBorder="1" applyAlignment="1">
      <alignment vertical="center"/>
    </xf>
    <xf numFmtId="184" fontId="13" fillId="37" borderId="41" xfId="20" applyNumberFormat="1" applyFill="1" applyBorder="1" applyAlignment="1">
      <alignment vertical="center"/>
    </xf>
    <xf numFmtId="184" fontId="13" fillId="19" borderId="18" xfId="20" applyNumberFormat="1" applyFont="1" applyFill="1" applyBorder="1" applyAlignment="1">
      <alignment vertical="center"/>
    </xf>
    <xf numFmtId="184" fontId="13" fillId="19" borderId="92" xfId="20" applyNumberFormat="1" applyFont="1" applyFill="1" applyBorder="1" applyAlignment="1">
      <alignment vertical="center"/>
    </xf>
    <xf numFmtId="176" fontId="13" fillId="21" borderId="93" xfId="20" applyNumberFormat="1" applyFont="1" applyFill="1" applyBorder="1" applyAlignment="1" applyProtection="1">
      <alignment horizontal="center" vertical="center"/>
      <protection locked="0"/>
    </xf>
    <xf numFmtId="176" fontId="13" fillId="37" borderId="92" xfId="20" applyNumberFormat="1" applyFont="1" applyFill="1" applyBorder="1" applyAlignment="1">
      <alignment horizontal="center" vertical="center"/>
    </xf>
    <xf numFmtId="181" fontId="16" fillId="0" borderId="2" xfId="0" applyNumberFormat="1" applyFont="1" applyBorder="1" applyAlignment="1">
      <alignment horizontal="left" vertical="center"/>
    </xf>
    <xf numFmtId="182" fontId="13" fillId="41" borderId="11" xfId="16" applyNumberFormat="1" applyFill="1" applyBorder="1" applyAlignment="1">
      <alignment vertical="center"/>
    </xf>
    <xf numFmtId="174" fontId="13" fillId="19" borderId="11" xfId="20" applyNumberFormat="1" applyFont="1" applyFill="1" applyBorder="1" applyAlignment="1">
      <alignment vertical="center"/>
    </xf>
    <xf numFmtId="174" fontId="13" fillId="19" borderId="11" xfId="20" applyNumberFormat="1" applyFont="1" applyFill="1" applyBorder="1" applyAlignment="1">
      <alignment vertical="center"/>
    </xf>
    <xf numFmtId="41" fontId="16" fillId="19" borderId="11" xfId="17" applyFont="1" applyFill="1" applyBorder="1" applyAlignment="1" applyProtection="1">
      <alignment vertical="center"/>
    </xf>
    <xf numFmtId="174" fontId="13" fillId="19" borderId="11" xfId="20" applyNumberFormat="1" applyFont="1" applyFill="1" applyBorder="1" applyAlignment="1">
      <alignment vertical="center"/>
    </xf>
    <xf numFmtId="0" fontId="9" fillId="30" borderId="34" xfId="0" applyFont="1" applyFill="1" applyBorder="1" applyAlignment="1">
      <alignment horizontal="center" vertical="center"/>
    </xf>
    <xf numFmtId="9" fontId="0" fillId="20" borderId="26" xfId="0" applyNumberFormat="1" applyFill="1" applyBorder="1" applyAlignment="1">
      <alignment horizontal="center" vertical="center"/>
    </xf>
    <xf numFmtId="9" fontId="0" fillId="20" borderId="27" xfId="0" applyNumberFormat="1" applyFill="1" applyBorder="1" applyAlignment="1">
      <alignment horizontal="center" vertical="center"/>
    </xf>
    <xf numFmtId="9" fontId="0" fillId="20" borderId="25" xfId="0" applyNumberFormat="1" applyFill="1" applyBorder="1" applyAlignment="1">
      <alignment horizontal="center" vertical="center"/>
    </xf>
    <xf numFmtId="174" fontId="13" fillId="19" borderId="93" xfId="20" applyNumberFormat="1" applyFont="1" applyFill="1" applyBorder="1" applyAlignment="1">
      <alignment vertical="center"/>
    </xf>
    <xf numFmtId="174" fontId="13" fillId="19" borderId="64" xfId="20" applyNumberFormat="1" applyFont="1" applyFill="1" applyBorder="1" applyAlignment="1">
      <alignment vertical="center"/>
    </xf>
    <xf numFmtId="174" fontId="13" fillId="19" borderId="31" xfId="20" applyNumberFormat="1" applyFont="1" applyFill="1" applyBorder="1" applyAlignment="1">
      <alignment vertical="center"/>
    </xf>
    <xf numFmtId="174" fontId="13" fillId="19" borderId="24" xfId="20" applyNumberFormat="1" applyFont="1" applyFill="1" applyBorder="1" applyAlignment="1">
      <alignment vertical="center"/>
    </xf>
    <xf numFmtId="174" fontId="13" fillId="19" borderId="34" xfId="20" applyNumberFormat="1" applyFont="1" applyFill="1" applyBorder="1" applyAlignment="1">
      <alignment vertical="center"/>
    </xf>
    <xf numFmtId="174" fontId="0" fillId="0" borderId="42" xfId="20" applyNumberFormat="1" applyFont="1" applyBorder="1" applyAlignment="1">
      <alignment vertical="center"/>
    </xf>
    <xf numFmtId="174" fontId="13" fillId="28" borderId="31" xfId="20" applyNumberFormat="1" applyFont="1" applyFill="1" applyBorder="1" applyAlignment="1">
      <alignment vertical="center"/>
    </xf>
    <xf numFmtId="174" fontId="13" fillId="28" borderId="23" xfId="20" applyNumberFormat="1" applyFont="1" applyFill="1" applyBorder="1" applyAlignment="1">
      <alignment vertical="center"/>
    </xf>
    <xf numFmtId="174" fontId="13" fillId="28" borderId="41" xfId="20" applyNumberFormat="1" applyFont="1" applyFill="1" applyBorder="1" applyAlignment="1">
      <alignment vertical="center"/>
    </xf>
    <xf numFmtId="174" fontId="13" fillId="28" borderId="24" xfId="20" applyNumberFormat="1" applyFont="1" applyFill="1" applyBorder="1" applyAlignment="1">
      <alignment vertical="center"/>
    </xf>
    <xf numFmtId="174" fontId="13" fillId="28" borderId="34" xfId="20" applyNumberFormat="1" applyFont="1" applyFill="1" applyBorder="1" applyAlignment="1">
      <alignment vertical="center"/>
    </xf>
    <xf numFmtId="176" fontId="0" fillId="0" borderId="42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4" fontId="0" fillId="0" borderId="11" xfId="20" applyNumberFormat="1" applyFont="1" applyBorder="1" applyAlignment="1">
      <alignment vertical="center"/>
    </xf>
    <xf numFmtId="174" fontId="0" fillId="0" borderId="31" xfId="20" applyNumberFormat="1" applyFont="1" applyBorder="1" applyAlignment="1">
      <alignment vertical="center"/>
    </xf>
    <xf numFmtId="174" fontId="0" fillId="0" borderId="24" xfId="20" applyNumberFormat="1" applyFont="1" applyBorder="1" applyAlignment="1">
      <alignment vertical="center"/>
    </xf>
    <xf numFmtId="176" fontId="0" fillId="0" borderId="31" xfId="0" applyNumberFormat="1" applyBorder="1" applyAlignment="1">
      <alignment horizontal="center" vertical="center"/>
    </xf>
    <xf numFmtId="174" fontId="13" fillId="19" borderId="65" xfId="20" applyNumberFormat="1" applyFont="1" applyFill="1" applyBorder="1" applyAlignment="1">
      <alignment vertical="center"/>
    </xf>
    <xf numFmtId="174" fontId="13" fillId="28" borderId="93" xfId="20" applyNumberFormat="1" applyFont="1" applyFill="1" applyBorder="1" applyAlignment="1">
      <alignment vertical="center"/>
    </xf>
    <xf numFmtId="174" fontId="13" fillId="28" borderId="64" xfId="20" applyNumberFormat="1" applyFont="1" applyFill="1" applyBorder="1" applyAlignment="1">
      <alignment vertical="center"/>
    </xf>
    <xf numFmtId="174" fontId="13" fillId="28" borderId="36" xfId="20" applyNumberFormat="1" applyFont="1" applyFill="1" applyBorder="1" applyAlignment="1">
      <alignment vertical="center"/>
    </xf>
    <xf numFmtId="174" fontId="13" fillId="28" borderId="65" xfId="20" applyNumberFormat="1" applyFont="1" applyFill="1" applyBorder="1" applyAlignment="1">
      <alignment vertical="center"/>
    </xf>
    <xf numFmtId="174" fontId="0" fillId="0" borderId="17" xfId="20" applyNumberFormat="1" applyFont="1" applyBorder="1" applyAlignment="1">
      <alignment vertical="center"/>
    </xf>
    <xf numFmtId="174" fontId="0" fillId="0" borderId="19" xfId="20" applyNumberFormat="1" applyFont="1" applyBorder="1" applyAlignment="1">
      <alignment vertical="center"/>
    </xf>
    <xf numFmtId="174" fontId="0" fillId="0" borderId="90" xfId="20" applyNumberFormat="1" applyFont="1" applyBorder="1" applyAlignment="1">
      <alignment vertical="center"/>
    </xf>
    <xf numFmtId="176" fontId="0" fillId="0" borderId="53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4" fontId="13" fillId="28" borderId="53" xfId="20" applyNumberFormat="1" applyFont="1" applyFill="1" applyBorder="1" applyAlignment="1">
      <alignment vertical="center"/>
    </xf>
    <xf numFmtId="174" fontId="13" fillId="28" borderId="19" xfId="20" applyNumberFormat="1" applyFont="1" applyFill="1" applyBorder="1" applyAlignment="1">
      <alignment vertical="center"/>
    </xf>
    <xf numFmtId="174" fontId="13" fillId="28" borderId="90" xfId="20" applyNumberFormat="1" applyFont="1" applyFill="1" applyBorder="1" applyAlignment="1">
      <alignment vertical="center"/>
    </xf>
    <xf numFmtId="174" fontId="0" fillId="0" borderId="53" xfId="20" applyNumberFormat="1" applyFont="1" applyBorder="1" applyAlignment="1">
      <alignment vertical="center"/>
    </xf>
    <xf numFmtId="174" fontId="13" fillId="19" borderId="36" xfId="20" applyNumberFormat="1" applyFont="1" applyFill="1" applyBorder="1" applyAlignment="1">
      <alignment vertical="center"/>
    </xf>
    <xf numFmtId="176" fontId="0" fillId="0" borderId="16" xfId="0" applyNumberFormat="1" applyBorder="1" applyAlignment="1">
      <alignment horizontal="center" vertical="center"/>
    </xf>
    <xf numFmtId="174" fontId="13" fillId="36" borderId="11" xfId="20" applyNumberFormat="1" applyFont="1" applyFill="1" applyBorder="1" applyAlignment="1">
      <alignment vertical="center"/>
    </xf>
    <xf numFmtId="174" fontId="13" fillId="54" borderId="11" xfId="20" applyNumberFormat="1" applyFont="1" applyFill="1" applyBorder="1" applyAlignment="1">
      <alignment vertical="center"/>
    </xf>
    <xf numFmtId="174" fontId="13" fillId="54" borderId="39" xfId="20" applyNumberFormat="1" applyFont="1" applyFill="1" applyBorder="1" applyAlignment="1">
      <alignment vertical="center"/>
    </xf>
    <xf numFmtId="174" fontId="0" fillId="1" borderId="11" xfId="20" applyNumberFormat="1" applyFont="1" applyFill="1" applyBorder="1" applyAlignment="1">
      <alignment vertical="center"/>
    </xf>
    <xf numFmtId="174" fontId="0" fillId="1" borderId="38" xfId="20" applyNumberFormat="1" applyFont="1" applyFill="1" applyBorder="1" applyAlignment="1">
      <alignment vertical="center"/>
    </xf>
    <xf numFmtId="176" fontId="0" fillId="1" borderId="11" xfId="0" applyNumberFormat="1" applyFill="1" applyBorder="1" applyAlignment="1">
      <alignment horizontal="center" vertical="center"/>
    </xf>
    <xf numFmtId="176" fontId="0" fillId="1" borderId="38" xfId="0" applyNumberFormat="1" applyFill="1" applyBorder="1" applyAlignment="1">
      <alignment horizontal="center" vertical="center"/>
    </xf>
    <xf numFmtId="0" fontId="0" fillId="21" borderId="11" xfId="0" applyFill="1" applyBorder="1" applyAlignment="1" applyProtection="1">
      <alignment horizontal="left" vertical="center"/>
      <protection locked="0"/>
    </xf>
    <xf numFmtId="0" fontId="0" fillId="21" borderId="39" xfId="0" applyFill="1" applyBorder="1" applyAlignment="1" applyProtection="1">
      <alignment horizontal="left" vertical="center"/>
      <protection locked="0"/>
    </xf>
    <xf numFmtId="184" fontId="13" fillId="21" borderId="11" xfId="20" applyNumberFormat="1" applyFont="1" applyFill="1" applyBorder="1" applyAlignment="1" applyProtection="1">
      <alignment vertical="center"/>
      <protection locked="0"/>
    </xf>
    <xf numFmtId="183" fontId="18" fillId="33" borderId="59" xfId="0" applyNumberFormat="1" applyFont="1" applyFill="1" applyBorder="1" applyAlignment="1">
      <alignment horizontal="center" vertical="center"/>
    </xf>
    <xf numFmtId="0" fontId="0" fillId="21" borderId="42" xfId="0" applyFill="1" applyBorder="1" applyAlignment="1" applyProtection="1">
      <alignment horizontal="left" vertical="center"/>
      <protection locked="0"/>
    </xf>
    <xf numFmtId="0" fontId="0" fillId="21" borderId="16" xfId="0" applyFill="1" applyBorder="1" applyAlignment="1" applyProtection="1">
      <alignment horizontal="left" vertical="center"/>
      <protection locked="0"/>
    </xf>
    <xf numFmtId="174" fontId="12" fillId="22" borderId="94" xfId="0" applyNumberFormat="1" applyFont="1" applyFill="1" applyBorder="1" applyAlignment="1">
      <alignment horizontal="center" vertical="center" wrapText="1"/>
    </xf>
    <xf numFmtId="174" fontId="12" fillId="22" borderId="95" xfId="0" applyNumberFormat="1" applyFont="1" applyFill="1" applyBorder="1" applyAlignment="1">
      <alignment horizontal="center" vertical="center" wrapText="1"/>
    </xf>
    <xf numFmtId="174" fontId="13" fillId="0" borderId="11" xfId="20" applyNumberFormat="1" applyBorder="1" applyAlignment="1">
      <alignment vertical="center"/>
    </xf>
    <xf numFmtId="174" fontId="0" fillId="10" borderId="11" xfId="20" applyNumberFormat="1" applyFont="1" applyFill="1" applyBorder="1" applyAlignment="1">
      <alignment horizontal="right" vertical="center"/>
    </xf>
    <xf numFmtId="179" fontId="0" fillId="0" borderId="11" xfId="16" applyNumberFormat="1" applyFont="1" applyBorder="1" applyAlignment="1">
      <alignment vertical="center"/>
    </xf>
    <xf numFmtId="174" fontId="12" fillId="49" borderId="11" xfId="20" applyNumberFormat="1" applyFont="1" applyFill="1" applyBorder="1" applyAlignment="1">
      <alignment vertical="center"/>
    </xf>
    <xf numFmtId="174" fontId="12" fillId="49" borderId="11" xfId="20" applyNumberFormat="1" applyFont="1" applyFill="1" applyBorder="1" applyAlignment="1">
      <alignment horizontal="right" vertical="center"/>
    </xf>
    <xf numFmtId="174" fontId="13" fillId="0" borderId="58" xfId="20" applyNumberFormat="1" applyBorder="1" applyAlignment="1">
      <alignment vertical="center"/>
    </xf>
    <xf numFmtId="174" fontId="0" fillId="10" borderId="58" xfId="20" applyNumberFormat="1" applyFont="1" applyFill="1" applyBorder="1" applyAlignment="1">
      <alignment horizontal="right" vertical="center"/>
    </xf>
    <xf numFmtId="174" fontId="18" fillId="27" borderId="19" xfId="20" applyNumberFormat="1" applyFont="1" applyFill="1" applyBorder="1" applyAlignment="1">
      <alignment vertical="center" wrapText="1"/>
    </xf>
    <xf numFmtId="174" fontId="18" fillId="27" borderId="54" xfId="20" applyNumberFormat="1" applyFont="1" applyFill="1" applyBorder="1" applyAlignment="1">
      <alignment vertical="center" wrapText="1"/>
    </xf>
    <xf numFmtId="174" fontId="13" fillId="1" borderId="11" xfId="20" applyNumberFormat="1" applyFill="1" applyBorder="1" applyAlignment="1">
      <alignment vertical="center"/>
    </xf>
    <xf numFmtId="179" fontId="0" fillId="1" borderId="11" xfId="16" applyNumberFormat="1" applyFont="1" applyFill="1" applyBorder="1" applyAlignment="1">
      <alignment vertical="center"/>
    </xf>
    <xf numFmtId="174" fontId="12" fillId="55" borderId="11" xfId="20" applyNumberFormat="1" applyFont="1" applyFill="1" applyBorder="1" applyAlignment="1">
      <alignment vertical="center"/>
    </xf>
    <xf numFmtId="174" fontId="18" fillId="27" borderId="66" xfId="20" applyNumberFormat="1" applyFont="1" applyFill="1" applyBorder="1" applyAlignment="1">
      <alignment vertical="center" wrapText="1"/>
    </xf>
    <xf numFmtId="174" fontId="18" fillId="27" borderId="63" xfId="20" applyNumberFormat="1" applyFont="1" applyFill="1" applyBorder="1" applyAlignment="1">
      <alignment vertical="center" wrapText="1"/>
    </xf>
    <xf numFmtId="174" fontId="12" fillId="49" borderId="39" xfId="20" applyNumberFormat="1" applyFont="1" applyFill="1" applyBorder="1" applyAlignment="1">
      <alignment vertical="center"/>
    </xf>
    <xf numFmtId="174" fontId="18" fillId="27" borderId="90" xfId="20" applyNumberFormat="1" applyFont="1" applyFill="1" applyBorder="1" applyAlignment="1">
      <alignment vertical="center" wrapText="1"/>
    </xf>
    <xf numFmtId="174" fontId="12" fillId="55" borderId="39" xfId="20" applyNumberFormat="1" applyFont="1" applyFill="1" applyBorder="1" applyAlignment="1">
      <alignment vertical="center"/>
    </xf>
    <xf numFmtId="174" fontId="18" fillId="27" borderId="96" xfId="20" applyNumberFormat="1" applyFont="1" applyFill="1" applyBorder="1" applyAlignment="1">
      <alignment vertical="center" wrapText="1"/>
    </xf>
    <xf numFmtId="174" fontId="0" fillId="10" borderId="42" xfId="20" applyNumberFormat="1" applyFont="1" applyFill="1" applyBorder="1" applyAlignment="1">
      <alignment horizontal="right" vertical="center"/>
    </xf>
    <xf numFmtId="174" fontId="0" fillId="10" borderId="16" xfId="20" applyNumberFormat="1" applyFont="1" applyFill="1" applyBorder="1" applyAlignment="1">
      <alignment horizontal="right" vertical="center"/>
    </xf>
    <xf numFmtId="174" fontId="12" fillId="49" borderId="16" xfId="20" applyNumberFormat="1" applyFont="1" applyFill="1" applyBorder="1" applyAlignment="1">
      <alignment horizontal="right" vertical="center"/>
    </xf>
    <xf numFmtId="174" fontId="18" fillId="27" borderId="17" xfId="20" applyNumberFormat="1" applyFont="1" applyFill="1" applyBorder="1" applyAlignment="1">
      <alignment vertical="center" wrapText="1"/>
    </xf>
    <xf numFmtId="174" fontId="18" fillId="27" borderId="97" xfId="20" applyNumberFormat="1" applyFont="1" applyFill="1" applyBorder="1" applyAlignment="1">
      <alignment vertical="center" wrapText="1"/>
    </xf>
    <xf numFmtId="174" fontId="12" fillId="22" borderId="98" xfId="0" applyNumberFormat="1" applyFont="1" applyFill="1" applyBorder="1" applyAlignment="1">
      <alignment horizontal="center" vertical="center" wrapText="1"/>
    </xf>
    <xf numFmtId="174" fontId="13" fillId="0" borderId="31" xfId="20" applyNumberFormat="1" applyBorder="1" applyAlignment="1">
      <alignment vertical="center"/>
    </xf>
    <xf numFmtId="174" fontId="13" fillId="0" borderId="43" xfId="20" applyNumberFormat="1" applyBorder="1" applyAlignment="1">
      <alignment vertical="center"/>
    </xf>
    <xf numFmtId="179" fontId="0" fillId="0" borderId="36" xfId="16" applyNumberFormat="1" applyFont="1" applyBorder="1" applyAlignment="1">
      <alignment vertical="center"/>
    </xf>
    <xf numFmtId="174" fontId="12" fillId="49" borderId="36" xfId="20" applyNumberFormat="1" applyFont="1" applyFill="1" applyBorder="1" applyAlignment="1">
      <alignment vertical="center"/>
    </xf>
    <xf numFmtId="174" fontId="18" fillId="27" borderId="53" xfId="20" applyNumberFormat="1" applyFont="1" applyFill="1" applyBorder="1" applyAlignment="1">
      <alignment vertical="center" wrapText="1"/>
    </xf>
    <xf numFmtId="174" fontId="0" fillId="0" borderId="24" xfId="0" applyNumberFormat="1" applyBorder="1" applyAlignment="1">
      <alignment vertical="center"/>
    </xf>
    <xf numFmtId="174" fontId="0" fillId="0" borderId="39" xfId="0" applyNumberFormat="1" applyBorder="1" applyAlignment="1">
      <alignment vertical="center"/>
    </xf>
    <xf numFmtId="174" fontId="12" fillId="49" borderId="39" xfId="0" applyNumberFormat="1" applyFont="1" applyFill="1" applyBorder="1" applyAlignment="1">
      <alignment vertical="center"/>
    </xf>
    <xf numFmtId="174" fontId="13" fillId="0" borderId="36" xfId="20" applyNumberFormat="1" applyBorder="1" applyAlignment="1">
      <alignment vertical="center"/>
    </xf>
    <xf numFmtId="174" fontId="13" fillId="1" borderId="31" xfId="20" applyNumberFormat="1" applyFill="1" applyBorder="1" applyAlignment="1">
      <alignment vertical="center"/>
    </xf>
    <xf numFmtId="179" fontId="0" fillId="1" borderId="36" xfId="16" applyNumberFormat="1" applyFont="1" applyFill="1" applyBorder="1" applyAlignment="1">
      <alignment vertical="center"/>
    </xf>
    <xf numFmtId="174" fontId="12" fillId="55" borderId="36" xfId="20" applyNumberFormat="1" applyFont="1" applyFill="1" applyBorder="1" applyAlignment="1">
      <alignment vertical="center"/>
    </xf>
    <xf numFmtId="174" fontId="13" fillId="1" borderId="36" xfId="20" applyNumberFormat="1" applyFill="1" applyBorder="1" applyAlignment="1">
      <alignment vertical="center"/>
    </xf>
    <xf numFmtId="174" fontId="12" fillId="55" borderId="38" xfId="20" applyNumberFormat="1" applyFont="1" applyFill="1" applyBorder="1" applyAlignment="1">
      <alignment vertical="center"/>
    </xf>
    <xf numFmtId="174" fontId="13" fillId="34" borderId="24" xfId="20" applyNumberFormat="1" applyFill="1" applyBorder="1" applyAlignment="1">
      <alignment vertical="center"/>
    </xf>
    <xf numFmtId="179" fontId="13" fillId="21" borderId="39" xfId="16" applyNumberFormat="1" applyFont="1" applyFill="1" applyBorder="1" applyAlignment="1" applyProtection="1">
      <alignment vertical="center"/>
      <protection locked="0"/>
    </xf>
    <xf numFmtId="174" fontId="13" fillId="34" borderId="39" xfId="20" applyNumberFormat="1" applyFill="1" applyBorder="1" applyAlignment="1">
      <alignment vertical="center"/>
    </xf>
    <xf numFmtId="174" fontId="13" fillId="56" borderId="24" xfId="20" applyNumberFormat="1" applyFill="1" applyBorder="1" applyAlignment="1">
      <alignment vertical="center"/>
    </xf>
    <xf numFmtId="179" fontId="13" fillId="56" borderId="39" xfId="16" applyNumberFormat="1" applyFont="1" applyFill="1" applyBorder="1" applyAlignment="1">
      <alignment vertical="center"/>
    </xf>
    <xf numFmtId="174" fontId="13" fillId="56" borderId="39" xfId="20" applyNumberFormat="1" applyFill="1" applyBorder="1" applyAlignment="1">
      <alignment vertical="center"/>
    </xf>
    <xf numFmtId="174" fontId="12" fillId="49" borderId="27" xfId="20" applyNumberFormat="1" applyFont="1" applyFill="1" applyBorder="1" applyAlignment="1">
      <alignment horizontal="right" vertical="center"/>
    </xf>
    <xf numFmtId="174" fontId="18" fillId="27" borderId="29" xfId="20" applyNumberFormat="1" applyFont="1" applyFill="1" applyBorder="1" applyAlignment="1">
      <alignment vertical="center" wrapText="1"/>
    </xf>
    <xf numFmtId="174" fontId="18" fillId="27" borderId="61" xfId="20" applyNumberFormat="1" applyFont="1" applyFill="1" applyBorder="1" applyAlignment="1">
      <alignment vertical="center" wrapText="1"/>
    </xf>
    <xf numFmtId="182" fontId="13" fillId="0" borderId="0" xfId="16" applyNumberFormat="1"/>
    <xf numFmtId="2" fontId="0" fillId="0" borderId="0" xfId="0" applyNumberFormat="1"/>
    <xf numFmtId="174" fontId="13" fillId="36" borderId="11" xfId="20" applyNumberFormat="1" applyFont="1" applyFill="1" applyBorder="1" applyAlignment="1">
      <alignment vertical="center"/>
    </xf>
    <xf numFmtId="174" fontId="13" fillId="36" borderId="39" xfId="20" applyNumberFormat="1" applyFont="1" applyFill="1" applyBorder="1" applyAlignment="1">
      <alignment vertical="center"/>
    </xf>
    <xf numFmtId="186" fontId="13" fillId="54" borderId="11" xfId="32" applyNumberFormat="1" applyFill="1" applyBorder="1" applyAlignment="1">
      <alignment horizontal="center" vertical="center"/>
    </xf>
    <xf numFmtId="186" fontId="13" fillId="54" borderId="39" xfId="32" applyNumberFormat="1" applyFill="1" applyBorder="1" applyAlignment="1">
      <alignment horizontal="center" vertical="center"/>
    </xf>
    <xf numFmtId="0" fontId="0" fillId="57" borderId="0" xfId="0" applyFill="1"/>
    <xf numFmtId="0" fontId="12" fillId="57" borderId="0" xfId="0" applyFont="1" applyFill="1" applyAlignment="1">
      <alignment horizontal="center" vertical="center"/>
    </xf>
    <xf numFmtId="0" fontId="0" fillId="57" borderId="0" xfId="0" applyFill="1" applyAlignment="1">
      <alignment horizontal="center" vertical="center"/>
    </xf>
    <xf numFmtId="0" fontId="12" fillId="18" borderId="51" xfId="0" applyFont="1" applyFill="1" applyBorder="1" applyAlignment="1">
      <alignment horizontal="center" vertical="center" wrapText="1"/>
    </xf>
    <xf numFmtId="185" fontId="13" fillId="58" borderId="11" xfId="20" applyNumberFormat="1" applyFont="1" applyFill="1" applyBorder="1" applyAlignment="1">
      <alignment horizontal="center" vertical="center"/>
    </xf>
    <xf numFmtId="174" fontId="13" fillId="35" borderId="11" xfId="20" applyNumberFormat="1" applyFont="1" applyFill="1" applyBorder="1" applyAlignment="1">
      <alignment vertical="center"/>
    </xf>
    <xf numFmtId="174" fontId="13" fillId="35" borderId="11" xfId="20" applyNumberFormat="1" applyFont="1" applyFill="1" applyBorder="1" applyAlignment="1">
      <alignment vertical="center"/>
    </xf>
    <xf numFmtId="174" fontId="16" fillId="35" borderId="11" xfId="20" applyNumberFormat="1" applyFont="1" applyFill="1" applyBorder="1" applyAlignment="1">
      <alignment vertical="center"/>
    </xf>
    <xf numFmtId="0" fontId="0" fillId="21" borderId="39" xfId="0" applyFill="1" applyBorder="1" applyProtection="1">
      <protection locked="0"/>
    </xf>
    <xf numFmtId="0" fontId="0" fillId="21" borderId="34" xfId="0" applyFill="1" applyBorder="1" applyProtection="1">
      <protection locked="0"/>
    </xf>
    <xf numFmtId="0" fontId="0" fillId="21" borderId="90" xfId="0" applyFill="1" applyBorder="1" applyProtection="1">
      <protection locked="0"/>
    </xf>
    <xf numFmtId="0" fontId="12" fillId="18" borderId="54" xfId="0" applyFont="1" applyFill="1" applyBorder="1" applyAlignment="1">
      <alignment horizontal="center" vertical="center" wrapText="1"/>
    </xf>
    <xf numFmtId="184" fontId="13" fillId="21" borderId="31" xfId="20" applyNumberFormat="1" applyFont="1" applyFill="1" applyBorder="1" applyAlignment="1" applyProtection="1">
      <alignment vertical="center"/>
      <protection locked="0"/>
    </xf>
    <xf numFmtId="184" fontId="13" fillId="21" borderId="58" xfId="20" applyNumberFormat="1" applyFont="1" applyFill="1" applyBorder="1" applyAlignment="1" applyProtection="1">
      <alignment vertical="center"/>
      <protection locked="0"/>
    </xf>
    <xf numFmtId="183" fontId="0" fillId="19" borderId="26" xfId="0" applyNumberFormat="1" applyFill="1" applyBorder="1" applyAlignment="1">
      <alignment horizontal="right" vertical="center"/>
    </xf>
    <xf numFmtId="184" fontId="13" fillId="21" borderId="36" xfId="20" applyNumberFormat="1" applyFont="1" applyFill="1" applyBorder="1" applyAlignment="1" applyProtection="1">
      <alignment vertical="center"/>
      <protection locked="0"/>
    </xf>
    <xf numFmtId="184" fontId="13" fillId="21" borderId="39" xfId="20" applyNumberFormat="1" applyFont="1" applyFill="1" applyBorder="1" applyAlignment="1" applyProtection="1">
      <alignment vertical="center"/>
      <protection locked="0"/>
    </xf>
    <xf numFmtId="184" fontId="13" fillId="21" borderId="40" xfId="20" applyNumberFormat="1" applyFont="1" applyFill="1" applyBorder="1" applyAlignment="1" applyProtection="1">
      <alignment vertical="center"/>
      <protection locked="0"/>
    </xf>
    <xf numFmtId="184" fontId="13" fillId="21" borderId="34" xfId="20" applyNumberFormat="1" applyFont="1" applyFill="1" applyBorder="1" applyAlignment="1" applyProtection="1">
      <alignment vertical="center"/>
      <protection locked="0"/>
    </xf>
    <xf numFmtId="183" fontId="0" fillId="19" borderId="28" xfId="0" applyNumberFormat="1" applyFill="1" applyBorder="1" applyAlignment="1">
      <alignment horizontal="right" vertical="center"/>
    </xf>
    <xf numFmtId="183" fontId="0" fillId="19" borderId="29" xfId="0" applyNumberFormat="1" applyFill="1" applyBorder="1" applyAlignment="1">
      <alignment horizontal="right" vertical="center"/>
    </xf>
    <xf numFmtId="184" fontId="13" fillId="21" borderId="40" xfId="20" applyNumberFormat="1" applyFont="1" applyFill="1" applyBorder="1" applyAlignment="1" applyProtection="1">
      <alignment vertical="center"/>
      <protection locked="0"/>
    </xf>
    <xf numFmtId="184" fontId="13" fillId="21" borderId="23" xfId="20" applyNumberFormat="1" applyFont="1" applyFill="1" applyBorder="1" applyAlignment="1" applyProtection="1">
      <alignment vertical="center"/>
      <protection locked="0"/>
    </xf>
    <xf numFmtId="184" fontId="13" fillId="21" borderId="34" xfId="20" applyNumberFormat="1" applyFont="1" applyFill="1" applyBorder="1" applyAlignment="1" applyProtection="1">
      <alignment vertical="center"/>
      <protection locked="0"/>
    </xf>
    <xf numFmtId="183" fontId="0" fillId="19" borderId="25" xfId="0" applyNumberFormat="1" applyFill="1" applyBorder="1" applyAlignment="1">
      <alignment horizontal="right" vertical="center"/>
    </xf>
    <xf numFmtId="0" fontId="12" fillId="18" borderId="55" xfId="0" applyFont="1" applyFill="1" applyBorder="1" applyAlignment="1">
      <alignment horizontal="center" vertical="center" wrapText="1"/>
    </xf>
    <xf numFmtId="0" fontId="12" fillId="18" borderId="46" xfId="0" applyFont="1" applyFill="1" applyBorder="1" applyAlignment="1">
      <alignment horizontal="center" vertical="center" wrapText="1"/>
    </xf>
    <xf numFmtId="0" fontId="0" fillId="21" borderId="58" xfId="0" applyFill="1" applyBorder="1" applyAlignment="1" applyProtection="1">
      <alignment horizontal="left" vertical="center"/>
      <protection locked="0"/>
    </xf>
    <xf numFmtId="0" fontId="0" fillId="21" borderId="24" xfId="0" applyFill="1" applyBorder="1" applyAlignment="1" applyProtection="1">
      <alignment horizontal="left" vertical="center"/>
      <protection locked="0"/>
    </xf>
    <xf numFmtId="0" fontId="0" fillId="21" borderId="23" xfId="0" applyFill="1" applyBorder="1" applyAlignment="1" applyProtection="1">
      <alignment horizontal="left" vertical="center"/>
      <protection locked="0"/>
    </xf>
    <xf numFmtId="0" fontId="0" fillId="21" borderId="34" xfId="0" applyFill="1" applyBorder="1" applyAlignment="1" applyProtection="1">
      <alignment horizontal="left" vertical="center"/>
      <protection locked="0"/>
    </xf>
    <xf numFmtId="0" fontId="12" fillId="18" borderId="34" xfId="0" applyFont="1" applyFill="1" applyBorder="1" applyAlignment="1">
      <alignment horizontal="center" vertical="center" wrapText="1"/>
    </xf>
    <xf numFmtId="183" fontId="0" fillId="16" borderId="26" xfId="0" applyNumberFormat="1" applyFill="1" applyBorder="1" applyAlignment="1">
      <alignment horizontal="right" vertical="center"/>
    </xf>
    <xf numFmtId="183" fontId="0" fillId="16" borderId="27" xfId="0" applyNumberFormat="1" applyFill="1" applyBorder="1" applyAlignment="1">
      <alignment horizontal="right" vertical="center"/>
    </xf>
    <xf numFmtId="183" fontId="0" fillId="16" borderId="25" xfId="0" applyNumberFormat="1" applyFill="1" applyBorder="1" applyAlignment="1">
      <alignment horizontal="right" vertical="center"/>
    </xf>
    <xf numFmtId="0" fontId="12" fillId="18" borderId="90" xfId="0" applyFont="1" applyFill="1" applyBorder="1" applyAlignment="1">
      <alignment horizontal="center" vertical="center" wrapText="1"/>
    </xf>
    <xf numFmtId="0" fontId="0" fillId="21" borderId="18" xfId="0" applyFill="1" applyBorder="1" applyAlignment="1" applyProtection="1">
      <alignment horizontal="left" vertical="center"/>
      <protection locked="0"/>
    </xf>
    <xf numFmtId="0" fontId="0" fillId="21" borderId="65" xfId="0" applyFill="1" applyBorder="1" applyAlignment="1" applyProtection="1">
      <alignment horizontal="left" vertical="center"/>
      <protection locked="0"/>
    </xf>
    <xf numFmtId="183" fontId="0" fillId="16" borderId="99" xfId="0" applyNumberFormat="1" applyFill="1" applyBorder="1" applyAlignment="1">
      <alignment horizontal="right" vertical="center"/>
    </xf>
    <xf numFmtId="0" fontId="0" fillId="21" borderId="16" xfId="0" applyFill="1" applyBorder="1" applyAlignment="1" applyProtection="1">
      <alignment horizontal="left" vertical="center"/>
      <protection locked="0"/>
    </xf>
    <xf numFmtId="0" fontId="0" fillId="21" borderId="11" xfId="0" applyFill="1" applyBorder="1" applyAlignment="1" applyProtection="1">
      <alignment horizontal="left" vertical="center"/>
      <protection locked="0"/>
    </xf>
    <xf numFmtId="0" fontId="0" fillId="21" borderId="39" xfId="0" applyFill="1" applyBorder="1" applyAlignment="1" applyProtection="1">
      <alignment horizontal="left" vertical="center"/>
      <protection locked="0"/>
    </xf>
    <xf numFmtId="184" fontId="13" fillId="21" borderId="11" xfId="20" applyNumberFormat="1" applyFont="1" applyFill="1" applyBorder="1" applyAlignment="1" applyProtection="1">
      <alignment vertical="center"/>
      <protection locked="0"/>
    </xf>
    <xf numFmtId="183" fontId="0" fillId="16" borderId="27" xfId="0" applyNumberFormat="1" applyFill="1" applyBorder="1" applyAlignment="1">
      <alignment horizontal="right" vertical="center"/>
    </xf>
    <xf numFmtId="0" fontId="0" fillId="21" borderId="30" xfId="0" applyFill="1" applyBorder="1" applyAlignment="1" applyProtection="1">
      <alignment horizontal="left" vertical="center"/>
      <protection locked="0"/>
    </xf>
    <xf numFmtId="183" fontId="0" fillId="19" borderId="43" xfId="0" applyNumberFormat="1" applyFill="1" applyBorder="1" applyAlignment="1">
      <alignment horizontal="right" vertical="center"/>
    </xf>
    <xf numFmtId="184" fontId="13" fillId="21" borderId="36" xfId="20" applyNumberFormat="1" applyFont="1" applyFill="1" applyBorder="1" applyAlignment="1" applyProtection="1">
      <alignment vertical="center"/>
      <protection locked="0"/>
    </xf>
    <xf numFmtId="183" fontId="0" fillId="19" borderId="38" xfId="0" applyNumberFormat="1" applyFill="1" applyBorder="1" applyAlignment="1">
      <alignment horizontal="right" vertical="center"/>
    </xf>
    <xf numFmtId="183" fontId="0" fillId="19" borderId="41" xfId="0" applyNumberFormat="1" applyFill="1" applyBorder="1" applyAlignment="1">
      <alignment horizontal="right" vertical="center"/>
    </xf>
    <xf numFmtId="184" fontId="13" fillId="21" borderId="93" xfId="20" applyNumberFormat="1" applyFont="1" applyFill="1" applyBorder="1" applyAlignment="1" applyProtection="1">
      <alignment vertical="center"/>
      <protection locked="0"/>
    </xf>
    <xf numFmtId="183" fontId="0" fillId="19" borderId="92" xfId="0" applyNumberFormat="1" applyFill="1" applyBorder="1" applyAlignment="1">
      <alignment horizontal="right" vertical="center"/>
    </xf>
    <xf numFmtId="0" fontId="13" fillId="21" borderId="42" xfId="27" applyFill="1" applyBorder="1" applyAlignment="1" applyProtection="1">
      <alignment horizontal="left" vertical="center"/>
      <protection locked="0"/>
    </xf>
    <xf numFmtId="0" fontId="13" fillId="21" borderId="58" xfId="27" applyFill="1" applyBorder="1" applyAlignment="1" applyProtection="1">
      <alignment horizontal="left" vertical="center"/>
      <protection locked="0"/>
    </xf>
    <xf numFmtId="0" fontId="13" fillId="21" borderId="58" xfId="27" applyFill="1" applyBorder="1" applyProtection="1">
      <protection locked="0"/>
    </xf>
    <xf numFmtId="0" fontId="13" fillId="21" borderId="24" xfId="27" applyFill="1" applyBorder="1" applyProtection="1">
      <protection locked="0"/>
    </xf>
    <xf numFmtId="184" fontId="28" fillId="21" borderId="31" xfId="24" applyNumberFormat="1" applyFont="1" applyFill="1" applyBorder="1" applyAlignment="1" applyProtection="1">
      <alignment vertical="center"/>
      <protection locked="0"/>
    </xf>
    <xf numFmtId="184" fontId="28" fillId="21" borderId="58" xfId="24" applyNumberFormat="1" applyFont="1" applyFill="1" applyBorder="1" applyAlignment="1" applyProtection="1">
      <alignment vertical="center"/>
      <protection locked="0"/>
    </xf>
    <xf numFmtId="184" fontId="28" fillId="21" borderId="24" xfId="24" applyNumberFormat="1" applyFont="1" applyFill="1" applyBorder="1" applyAlignment="1" applyProtection="1">
      <alignment vertical="center"/>
      <protection locked="0"/>
    </xf>
    <xf numFmtId="0" fontId="13" fillId="21" borderId="16" xfId="27" applyFill="1" applyBorder="1" applyAlignment="1" applyProtection="1">
      <alignment horizontal="left" vertical="center"/>
      <protection locked="0"/>
    </xf>
    <xf numFmtId="0" fontId="13" fillId="21" borderId="11" xfId="27" applyFill="1" applyBorder="1" applyAlignment="1" applyProtection="1">
      <alignment horizontal="left" vertical="center"/>
      <protection locked="0"/>
    </xf>
    <xf numFmtId="0" fontId="13" fillId="21" borderId="11" xfId="27" applyFill="1" applyBorder="1" applyProtection="1">
      <protection locked="0"/>
    </xf>
    <xf numFmtId="0" fontId="13" fillId="21" borderId="39" xfId="27" applyFill="1" applyBorder="1" applyProtection="1">
      <protection locked="0"/>
    </xf>
    <xf numFmtId="184" fontId="28" fillId="21" borderId="36" xfId="24" applyNumberFormat="1" applyFont="1" applyFill="1" applyBorder="1" applyAlignment="1" applyProtection="1">
      <alignment vertical="center"/>
      <protection locked="0"/>
    </xf>
    <xf numFmtId="184" fontId="28" fillId="21" borderId="11" xfId="24" applyNumberFormat="1" applyFont="1" applyFill="1" applyBorder="1" applyAlignment="1" applyProtection="1">
      <alignment vertical="center"/>
      <protection locked="0"/>
    </xf>
    <xf numFmtId="184" fontId="28" fillId="21" borderId="39" xfId="24" applyNumberFormat="1" applyFont="1" applyFill="1" applyBorder="1" applyAlignment="1" applyProtection="1">
      <alignment vertical="center"/>
      <protection locked="0"/>
    </xf>
    <xf numFmtId="0" fontId="13" fillId="21" borderId="23" xfId="27" applyFill="1" applyBorder="1" applyProtection="1">
      <protection locked="0"/>
    </xf>
    <xf numFmtId="0" fontId="13" fillId="21" borderId="34" xfId="27" applyFill="1" applyBorder="1" applyProtection="1">
      <protection locked="0"/>
    </xf>
    <xf numFmtId="184" fontId="28" fillId="21" borderId="40" xfId="24" applyNumberFormat="1" applyFont="1" applyFill="1" applyBorder="1" applyAlignment="1" applyProtection="1">
      <alignment vertical="center"/>
      <protection locked="0"/>
    </xf>
    <xf numFmtId="184" fontId="28" fillId="21" borderId="23" xfId="24" applyNumberFormat="1" applyFont="1" applyFill="1" applyBorder="1" applyAlignment="1" applyProtection="1">
      <alignment vertical="center"/>
      <protection locked="0"/>
    </xf>
    <xf numFmtId="0" fontId="13" fillId="21" borderId="100" xfId="27" applyFill="1" applyBorder="1" applyAlignment="1" applyProtection="1">
      <alignment horizontal="left" vertical="center"/>
      <protection locked="0"/>
    </xf>
    <xf numFmtId="0" fontId="13" fillId="21" borderId="98" xfId="27" applyFill="1" applyBorder="1" applyAlignment="1" applyProtection="1">
      <alignment horizontal="left" vertical="center"/>
      <protection locked="0"/>
    </xf>
    <xf numFmtId="0" fontId="13" fillId="21" borderId="98" xfId="27" applyFill="1" applyBorder="1" applyProtection="1">
      <protection locked="0"/>
    </xf>
    <xf numFmtId="0" fontId="13" fillId="21" borderId="101" xfId="27" applyFill="1" applyBorder="1" applyProtection="1">
      <protection locked="0"/>
    </xf>
    <xf numFmtId="0" fontId="13" fillId="21" borderId="17" xfId="27" applyFill="1" applyBorder="1" applyAlignment="1" applyProtection="1">
      <alignment horizontal="left" vertical="center"/>
      <protection locked="0"/>
    </xf>
    <xf numFmtId="0" fontId="13" fillId="21" borderId="19" xfId="27" applyFill="1" applyBorder="1" applyAlignment="1" applyProtection="1">
      <alignment horizontal="left" vertical="center"/>
      <protection locked="0"/>
    </xf>
    <xf numFmtId="0" fontId="13" fillId="21" borderId="19" xfId="27" applyFill="1" applyBorder="1" applyProtection="1">
      <protection locked="0"/>
    </xf>
    <xf numFmtId="0" fontId="13" fillId="21" borderId="90" xfId="27" applyFill="1" applyBorder="1" applyProtection="1">
      <protection locked="0"/>
    </xf>
    <xf numFmtId="0" fontId="13" fillId="21" borderId="11" xfId="27" applyFont="1" applyFill="1" applyBorder="1" applyAlignment="1" applyProtection="1">
      <alignment horizontal="left" vertical="center"/>
      <protection locked="0"/>
    </xf>
    <xf numFmtId="0" fontId="13" fillId="21" borderId="93" xfId="27" applyFont="1" applyFill="1" applyBorder="1" applyAlignment="1" applyProtection="1">
      <alignment horizontal="left" vertical="center"/>
      <protection locked="0"/>
    </xf>
    <xf numFmtId="0" fontId="13" fillId="21" borderId="64" xfId="27" applyFont="1" applyFill="1" applyBorder="1" applyAlignment="1" applyProtection="1">
      <alignment horizontal="left" vertical="center"/>
      <protection locked="0"/>
    </xf>
    <xf numFmtId="0" fontId="13" fillId="21" borderId="64" xfId="27" applyFill="1" applyBorder="1" applyProtection="1">
      <protection locked="0"/>
    </xf>
    <xf numFmtId="0" fontId="13" fillId="21" borderId="65" xfId="27" applyFill="1" applyBorder="1" applyProtection="1">
      <protection locked="0"/>
    </xf>
    <xf numFmtId="184" fontId="28" fillId="21" borderId="93" xfId="24" applyNumberFormat="1" applyFont="1" applyFill="1" applyBorder="1" applyAlignment="1" applyProtection="1">
      <alignment vertical="center"/>
      <protection locked="0"/>
    </xf>
    <xf numFmtId="184" fontId="28" fillId="21" borderId="64" xfId="24" applyNumberFormat="1" applyFont="1" applyFill="1" applyBorder="1" applyAlignment="1" applyProtection="1">
      <alignment vertical="center"/>
      <protection locked="0"/>
    </xf>
    <xf numFmtId="0" fontId="13" fillId="21" borderId="36" xfId="27" applyFill="1" applyBorder="1" applyAlignment="1" applyProtection="1">
      <alignment horizontal="left" vertical="center"/>
      <protection locked="0"/>
    </xf>
    <xf numFmtId="0" fontId="13" fillId="21" borderId="45" xfId="27" applyFill="1" applyBorder="1" applyAlignment="1" applyProtection="1">
      <alignment horizontal="left" vertical="center"/>
      <protection locked="0"/>
    </xf>
    <xf numFmtId="0" fontId="13" fillId="21" borderId="102" xfId="27" applyFill="1" applyBorder="1" applyAlignment="1" applyProtection="1">
      <alignment horizontal="left" vertical="center"/>
      <protection locked="0"/>
    </xf>
    <xf numFmtId="0" fontId="13" fillId="21" borderId="36" xfId="27" applyFont="1" applyFill="1" applyBorder="1" applyAlignment="1" applyProtection="1">
      <alignment horizontal="left" vertical="center"/>
      <protection locked="0"/>
    </xf>
    <xf numFmtId="49" fontId="23" fillId="21" borderId="81" xfId="26" applyNumberFormat="1" applyFont="1" applyFill="1" applyBorder="1"/>
    <xf numFmtId="184" fontId="28" fillId="21" borderId="65" xfId="24" applyNumberFormat="1" applyFont="1" applyFill="1" applyBorder="1" applyAlignment="1" applyProtection="1">
      <alignment vertical="center"/>
      <protection locked="0"/>
    </xf>
    <xf numFmtId="184" fontId="28" fillId="21" borderId="43" xfId="24" applyNumberFormat="1" applyFont="1" applyFill="1" applyBorder="1" applyAlignment="1" applyProtection="1">
      <alignment vertical="center"/>
      <protection locked="0"/>
    </xf>
    <xf numFmtId="184" fontId="28" fillId="21" borderId="38" xfId="24" applyNumberFormat="1" applyFont="1" applyFill="1" applyBorder="1" applyAlignment="1" applyProtection="1">
      <alignment vertical="center"/>
      <protection locked="0"/>
    </xf>
    <xf numFmtId="184" fontId="28" fillId="21" borderId="41" xfId="24" applyNumberFormat="1" applyFont="1" applyFill="1" applyBorder="1" applyAlignment="1" applyProtection="1">
      <alignment vertical="center"/>
      <protection locked="0"/>
    </xf>
    <xf numFmtId="9" fontId="0" fillId="21" borderId="93" xfId="0" applyNumberFormat="1" applyFill="1" applyBorder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6" fillId="0" borderId="61" xfId="0" applyFont="1" applyBorder="1" applyAlignment="1" applyProtection="1">
      <alignment horizontal="center"/>
      <protection locked="0"/>
    </xf>
    <xf numFmtId="49" fontId="13" fillId="0" borderId="61" xfId="30" applyNumberFormat="1" applyBorder="1" applyProtection="1">
      <protection locked="0"/>
    </xf>
    <xf numFmtId="49" fontId="0" fillId="0" borderId="61" xfId="30" applyNumberFormat="1" applyFont="1" applyBorder="1" applyAlignment="1" applyProtection="1">
      <alignment horizontal="center"/>
      <protection locked="0"/>
    </xf>
    <xf numFmtId="193" fontId="0" fillId="0" borderId="61" xfId="16" applyNumberFormat="1" applyFont="1" applyBorder="1" applyProtection="1">
      <protection locked="0"/>
    </xf>
    <xf numFmtId="193" fontId="0" fillId="0" borderId="61" xfId="16" applyNumberFormat="1" applyFont="1" applyBorder="1" applyAlignment="1" applyProtection="1">
      <alignment wrapText="1"/>
      <protection locked="0"/>
    </xf>
    <xf numFmtId="193" fontId="0" fillId="0" borderId="103" xfId="16" applyNumberFormat="1" applyFont="1" applyBorder="1" applyProtection="1">
      <protection locked="0"/>
    </xf>
    <xf numFmtId="0" fontId="0" fillId="0" borderId="62" xfId="0" applyBorder="1" applyProtection="1">
      <protection locked="0"/>
    </xf>
    <xf numFmtId="193" fontId="0" fillId="0" borderId="96" xfId="16" applyNumberFormat="1" applyFont="1" applyBorder="1" applyProtection="1">
      <protection locked="0"/>
    </xf>
    <xf numFmtId="0" fontId="0" fillId="0" borderId="61" xfId="0" applyBorder="1" applyProtection="1">
      <protection locked="0"/>
    </xf>
    <xf numFmtId="0" fontId="36" fillId="0" borderId="27" xfId="0" applyFont="1" applyBorder="1" applyAlignment="1" applyProtection="1">
      <alignment horizontal="center"/>
      <protection locked="0"/>
    </xf>
    <xf numFmtId="3" fontId="36" fillId="34" borderId="27" xfId="0" applyNumberFormat="1" applyFont="1" applyFill="1" applyBorder="1" applyProtection="1">
      <protection locked="0"/>
    </xf>
    <xf numFmtId="182" fontId="13" fillId="0" borderId="26" xfId="16" applyNumberFormat="1" applyBorder="1" applyProtection="1">
      <protection locked="0"/>
    </xf>
    <xf numFmtId="49" fontId="0" fillId="0" borderId="27" xfId="30" applyNumberFormat="1" applyFont="1" applyBorder="1" applyAlignment="1" applyProtection="1">
      <alignment horizontal="center"/>
      <protection locked="0"/>
    </xf>
    <xf numFmtId="193" fontId="13" fillId="0" borderId="27" xfId="16" applyNumberFormat="1" applyBorder="1" applyProtection="1">
      <protection locked="0"/>
    </xf>
    <xf numFmtId="185" fontId="13" fillId="0" borderId="27" xfId="16" applyNumberFormat="1" applyBorder="1" applyAlignment="1" applyProtection="1">
      <alignment horizontal="center"/>
      <protection locked="0"/>
    </xf>
    <xf numFmtId="193" fontId="13" fillId="0" borderId="99" xfId="16" applyNumberFormat="1" applyBorder="1" applyProtection="1">
      <protection locked="0"/>
    </xf>
    <xf numFmtId="182" fontId="13" fillId="0" borderId="27" xfId="16" applyNumberFormat="1" applyBorder="1" applyProtection="1">
      <protection locked="0"/>
    </xf>
    <xf numFmtId="193" fontId="13" fillId="0" borderId="72" xfId="16" applyNumberFormat="1" applyBorder="1" applyProtection="1">
      <protection locked="0"/>
    </xf>
    <xf numFmtId="0" fontId="0" fillId="0" borderId="92" xfId="0" applyBorder="1" applyProtection="1">
      <protection locked="0"/>
    </xf>
    <xf numFmtId="0" fontId="0" fillId="0" borderId="38" xfId="0" applyBorder="1" applyProtection="1">
      <protection locked="0"/>
    </xf>
    <xf numFmtId="0" fontId="36" fillId="0" borderId="25" xfId="0" applyFont="1" applyBorder="1" applyAlignment="1" applyProtection="1">
      <alignment horizontal="center"/>
      <protection locked="0"/>
    </xf>
    <xf numFmtId="3" fontId="36" fillId="34" borderId="25" xfId="0" applyNumberFormat="1" applyFont="1" applyFill="1" applyBorder="1" applyProtection="1">
      <protection locked="0"/>
    </xf>
    <xf numFmtId="182" fontId="13" fillId="0" borderId="59" xfId="16" applyNumberFormat="1" applyBorder="1" applyProtection="1">
      <protection locked="0"/>
    </xf>
    <xf numFmtId="49" fontId="0" fillId="0" borderId="25" xfId="30" applyNumberFormat="1" applyFont="1" applyBorder="1" applyAlignment="1" applyProtection="1">
      <alignment horizontal="center"/>
      <protection locked="0"/>
    </xf>
    <xf numFmtId="193" fontId="13" fillId="0" borderId="25" xfId="16" applyNumberFormat="1" applyBorder="1" applyProtection="1">
      <protection locked="0"/>
    </xf>
    <xf numFmtId="185" fontId="13" fillId="0" borderId="25" xfId="16" applyNumberFormat="1" applyBorder="1" applyAlignment="1" applyProtection="1">
      <alignment horizontal="center"/>
      <protection locked="0"/>
    </xf>
    <xf numFmtId="193" fontId="13" fillId="0" borderId="59" xfId="16" applyNumberFormat="1" applyBorder="1" applyProtection="1">
      <protection locked="0"/>
    </xf>
    <xf numFmtId="182" fontId="13" fillId="0" borderId="25" xfId="16" applyNumberFormat="1" applyBorder="1" applyProtection="1">
      <protection locked="0"/>
    </xf>
    <xf numFmtId="193" fontId="13" fillId="0" borderId="73" xfId="16" applyNumberFormat="1" applyBorder="1" applyProtection="1">
      <protection locked="0"/>
    </xf>
    <xf numFmtId="0" fontId="0" fillId="0" borderId="41" xfId="0" applyBorder="1" applyProtection="1">
      <protection locked="0"/>
    </xf>
    <xf numFmtId="0" fontId="39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0" fillId="0" borderId="11" xfId="0" applyBorder="1" applyProtection="1">
      <protection locked="0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vertical="center"/>
    </xf>
    <xf numFmtId="0" fontId="40" fillId="0" borderId="11" xfId="0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right" vertical="center"/>
    </xf>
    <xf numFmtId="3" fontId="41" fillId="21" borderId="11" xfId="0" applyNumberFormat="1" applyFont="1" applyFill="1" applyBorder="1" applyAlignment="1">
      <alignment horizontal="right" vertical="center"/>
    </xf>
    <xf numFmtId="3" fontId="26" fillId="0" borderId="64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vertical="center"/>
    </xf>
    <xf numFmtId="3" fontId="26" fillId="0" borderId="11" xfId="0" applyNumberFormat="1" applyFont="1" applyBorder="1" applyAlignment="1">
      <alignment horizontal="center" vertical="center"/>
    </xf>
    <xf numFmtId="0" fontId="12" fillId="0" borderId="11" xfId="0" applyFont="1" applyBorder="1" applyProtection="1">
      <protection locked="0"/>
    </xf>
    <xf numFmtId="3" fontId="27" fillId="0" borderId="11" xfId="0" applyNumberFormat="1" applyFont="1" applyBorder="1" applyAlignment="1">
      <alignment horizontal="right" vertical="center"/>
    </xf>
    <xf numFmtId="2" fontId="41" fillId="21" borderId="11" xfId="0" applyNumberFormat="1" applyFont="1" applyFill="1" applyBorder="1" applyAlignment="1">
      <alignment vertical="center"/>
    </xf>
    <xf numFmtId="0" fontId="33" fillId="0" borderId="11" xfId="0" applyFont="1" applyBorder="1" applyProtection="1">
      <protection locked="0"/>
    </xf>
    <xf numFmtId="2" fontId="40" fillId="0" borderId="11" xfId="0" applyNumberFormat="1" applyFont="1" applyBorder="1" applyAlignment="1">
      <alignment vertical="center"/>
    </xf>
    <xf numFmtId="2" fontId="40" fillId="0" borderId="0" xfId="0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2" fontId="40" fillId="21" borderId="11" xfId="0" applyNumberFormat="1" applyFont="1" applyFill="1" applyBorder="1" applyAlignment="1">
      <alignment vertical="center"/>
    </xf>
    <xf numFmtId="0" fontId="13" fillId="0" borderId="0" xfId="26"/>
    <xf numFmtId="0" fontId="19" fillId="0" borderId="0" xfId="26" applyFont="1"/>
    <xf numFmtId="0" fontId="12" fillId="0" borderId="0" xfId="26" applyFont="1"/>
    <xf numFmtId="0" fontId="12" fillId="0" borderId="19" xfId="26" applyFont="1" applyBorder="1"/>
    <xf numFmtId="0" fontId="12" fillId="0" borderId="39" xfId="26" applyFont="1" applyBorder="1"/>
    <xf numFmtId="0" fontId="12" fillId="34" borderId="104" xfId="26" applyFont="1" applyFill="1" applyBorder="1" applyAlignment="1">
      <alignment horizontal="center"/>
    </xf>
    <xf numFmtId="0" fontId="12" fillId="0" borderId="16" xfId="26" applyFont="1" applyBorder="1"/>
    <xf numFmtId="0" fontId="12" fillId="0" borderId="64" xfId="26" applyFont="1" applyBorder="1"/>
    <xf numFmtId="0" fontId="12" fillId="0" borderId="11" xfId="26" applyFont="1" applyBorder="1" applyAlignment="1">
      <alignment horizontal="center"/>
    </xf>
    <xf numFmtId="0" fontId="13" fillId="0" borderId="11" xfId="26" applyBorder="1"/>
    <xf numFmtId="182" fontId="13" fillId="0" borderId="11" xfId="16" applyNumberFormat="1" applyBorder="1"/>
    <xf numFmtId="0" fontId="13" fillId="0" borderId="11" xfId="26" applyBorder="1" applyAlignment="1">
      <alignment horizontal="center"/>
    </xf>
    <xf numFmtId="0" fontId="13" fillId="59" borderId="11" xfId="26" applyFill="1" applyBorder="1"/>
    <xf numFmtId="3" fontId="13" fillId="59" borderId="11" xfId="26" applyNumberFormat="1" applyFill="1" applyBorder="1" applyAlignment="1">
      <alignment horizontal="center"/>
    </xf>
    <xf numFmtId="0" fontId="13" fillId="59" borderId="11" xfId="26" applyFill="1" applyBorder="1" applyAlignment="1">
      <alignment horizontal="center"/>
    </xf>
    <xf numFmtId="3" fontId="13" fillId="59" borderId="11" xfId="26" applyNumberFormat="1" applyFill="1" applyBorder="1"/>
    <xf numFmtId="0" fontId="12" fillId="0" borderId="11" xfId="26" applyFont="1" applyBorder="1"/>
    <xf numFmtId="3" fontId="12" fillId="0" borderId="11" xfId="26" applyNumberFormat="1" applyFont="1" applyBorder="1"/>
    <xf numFmtId="3" fontId="12" fillId="0" borderId="11" xfId="26" applyNumberFormat="1" applyFont="1" applyBorder="1" applyAlignment="1">
      <alignment horizontal="center"/>
    </xf>
    <xf numFmtId="3" fontId="13" fillId="0" borderId="11" xfId="26" applyNumberFormat="1" applyBorder="1"/>
    <xf numFmtId="3" fontId="13" fillId="0" borderId="11" xfId="26" applyNumberFormat="1" applyBorder="1" applyAlignment="1">
      <alignment horizontal="right"/>
    </xf>
    <xf numFmtId="0" fontId="13" fillId="0" borderId="11" xfId="26" applyBorder="1" applyAlignment="1">
      <alignment horizontal="right"/>
    </xf>
    <xf numFmtId="3" fontId="12" fillId="0" borderId="11" xfId="26" applyNumberFormat="1" applyFont="1" applyBorder="1" applyAlignment="1">
      <alignment horizontal="right"/>
    </xf>
    <xf numFmtId="3" fontId="13" fillId="0" borderId="0" xfId="26" applyNumberFormat="1"/>
    <xf numFmtId="0" fontId="0" fillId="0" borderId="0" xfId="26" applyFont="1"/>
    <xf numFmtId="0" fontId="0" fillId="21" borderId="31" xfId="0" applyFont="1" applyFill="1" applyBorder="1" applyAlignment="1" applyProtection="1">
      <alignment horizontal="left" vertical="center"/>
      <protection locked="0"/>
    </xf>
    <xf numFmtId="0" fontId="0" fillId="21" borderId="42" xfId="0" applyFont="1" applyFill="1" applyBorder="1" applyAlignment="1" applyProtection="1">
      <alignment horizontal="left" vertical="center"/>
      <protection locked="0"/>
    </xf>
    <xf numFmtId="0" fontId="0" fillId="21" borderId="36" xfId="0" applyFont="1" applyFill="1" applyBorder="1" applyAlignment="1" applyProtection="1">
      <alignment horizontal="left" vertical="center"/>
      <protection locked="0"/>
    </xf>
    <xf numFmtId="0" fontId="0" fillId="21" borderId="16" xfId="0" applyFont="1" applyFill="1" applyBorder="1" applyAlignment="1" applyProtection="1">
      <alignment horizontal="left" vertical="center"/>
      <protection locked="0"/>
    </xf>
    <xf numFmtId="0" fontId="0" fillId="21" borderId="40" xfId="0" applyFont="1" applyFill="1" applyBorder="1" applyAlignment="1" applyProtection="1">
      <alignment horizontal="left" vertical="center"/>
      <protection locked="0"/>
    </xf>
    <xf numFmtId="0" fontId="0" fillId="21" borderId="30" xfId="0" applyFont="1" applyFill="1" applyBorder="1" applyAlignment="1" applyProtection="1">
      <alignment horizontal="left" vertical="center"/>
      <protection locked="0"/>
    </xf>
    <xf numFmtId="0" fontId="29" fillId="0" borderId="0" xfId="15" applyAlignment="1" applyProtection="1">
      <alignment horizontal="left"/>
    </xf>
    <xf numFmtId="0" fontId="29" fillId="0" borderId="0" xfId="15"/>
    <xf numFmtId="0" fontId="0" fillId="0" borderId="0" xfId="0"/>
    <xf numFmtId="0" fontId="29" fillId="0" borderId="0" xfId="15" applyBorder="1" applyAlignment="1" applyProtection="1">
      <alignment horizontal="left" vertical="center"/>
    </xf>
    <xf numFmtId="0" fontId="29" fillId="0" borderId="0" xfId="15" applyBorder="1" applyAlignment="1" applyProtection="1">
      <alignment horizontal="left" vertical="center" wrapText="1"/>
    </xf>
    <xf numFmtId="0" fontId="29" fillId="0" borderId="0" xfId="15" applyBorder="1" applyAlignment="1" applyProtection="1">
      <alignment horizontal="left" vertical="center" indent="2"/>
    </xf>
    <xf numFmtId="174" fontId="31" fillId="60" borderId="28" xfId="0" applyNumberFormat="1" applyFont="1" applyFill="1" applyBorder="1" applyAlignment="1">
      <alignment horizontal="center" vertical="center" wrapText="1"/>
    </xf>
    <xf numFmtId="174" fontId="31" fillId="60" borderId="109" xfId="0" applyNumberFormat="1" applyFont="1" applyFill="1" applyBorder="1" applyAlignment="1">
      <alignment horizontal="center" vertical="center" wrapText="1"/>
    </xf>
    <xf numFmtId="174" fontId="0" fillId="9" borderId="26" xfId="20" applyNumberFormat="1" applyFont="1" applyFill="1" applyBorder="1" applyAlignment="1">
      <alignment horizontal="right" vertical="center"/>
    </xf>
    <xf numFmtId="174" fontId="0" fillId="9" borderId="27" xfId="20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 indent="2"/>
    </xf>
    <xf numFmtId="0" fontId="12" fillId="13" borderId="110" xfId="0" applyFont="1" applyFill="1" applyBorder="1" applyAlignment="1">
      <alignment horizontal="center" vertical="center" wrapText="1"/>
    </xf>
    <xf numFmtId="0" fontId="12" fillId="13" borderId="35" xfId="0" applyFont="1" applyFill="1" applyBorder="1" applyAlignment="1">
      <alignment horizontal="center" vertical="center" wrapText="1"/>
    </xf>
    <xf numFmtId="0" fontId="12" fillId="13" borderId="111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174" fontId="42" fillId="62" borderId="112" xfId="0" applyNumberFormat="1" applyFont="1" applyFill="1" applyBorder="1" applyAlignment="1">
      <alignment horizontal="center" vertical="center" wrapText="1"/>
    </xf>
    <xf numFmtId="174" fontId="42" fillId="62" borderId="13" xfId="0" applyNumberFormat="1" applyFont="1" applyFill="1" applyBorder="1" applyAlignment="1">
      <alignment horizontal="center" vertical="center" wrapText="1"/>
    </xf>
    <xf numFmtId="174" fontId="31" fillId="60" borderId="108" xfId="0" applyNumberFormat="1" applyFont="1" applyFill="1" applyBorder="1" applyAlignment="1">
      <alignment horizontal="center" vertical="center" wrapText="1"/>
    </xf>
    <xf numFmtId="174" fontId="31" fillId="60" borderId="4" xfId="0" applyNumberFormat="1" applyFont="1" applyFill="1" applyBorder="1" applyAlignment="1">
      <alignment horizontal="center" vertical="center" wrapText="1"/>
    </xf>
    <xf numFmtId="174" fontId="31" fillId="60" borderId="106" xfId="0" applyNumberFormat="1" applyFont="1" applyFill="1" applyBorder="1" applyAlignment="1">
      <alignment horizontal="center" vertical="center" wrapText="1"/>
    </xf>
    <xf numFmtId="174" fontId="31" fillId="60" borderId="20" xfId="0" applyNumberFormat="1" applyFont="1" applyFill="1" applyBorder="1" applyAlignment="1">
      <alignment horizontal="center" vertical="center" wrapText="1"/>
    </xf>
    <xf numFmtId="174" fontId="18" fillId="27" borderId="19" xfId="0" applyNumberFormat="1" applyFont="1" applyFill="1" applyBorder="1" applyAlignment="1">
      <alignment horizontal="center" vertical="center"/>
    </xf>
    <xf numFmtId="174" fontId="18" fillId="27" borderId="9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/>
    </xf>
    <xf numFmtId="0" fontId="19" fillId="21" borderId="2" xfId="0" applyFont="1" applyFill="1" applyBorder="1" applyAlignment="1" applyProtection="1">
      <alignment horizontal="center" vertical="center"/>
      <protection locked="0"/>
    </xf>
    <xf numFmtId="0" fontId="19" fillId="21" borderId="12" xfId="0" applyFont="1" applyFill="1" applyBorder="1" applyAlignment="1" applyProtection="1">
      <alignment horizontal="center" vertical="center"/>
      <protection locked="0"/>
    </xf>
    <xf numFmtId="0" fontId="19" fillId="21" borderId="6" xfId="0" applyFont="1" applyFill="1" applyBorder="1" applyAlignment="1" applyProtection="1">
      <alignment horizontal="center" vertical="center"/>
      <protection locked="0"/>
    </xf>
    <xf numFmtId="174" fontId="12" fillId="13" borderId="76" xfId="0" applyNumberFormat="1" applyFont="1" applyFill="1" applyBorder="1" applyAlignment="1">
      <alignment horizontal="center" vertical="center"/>
    </xf>
    <xf numFmtId="174" fontId="12" fillId="13" borderId="74" xfId="0" applyNumberFormat="1" applyFont="1" applyFill="1" applyBorder="1" applyAlignment="1">
      <alignment horizontal="center" vertical="center"/>
    </xf>
    <xf numFmtId="174" fontId="19" fillId="61" borderId="105" xfId="0" applyNumberFormat="1" applyFont="1" applyFill="1" applyBorder="1" applyAlignment="1">
      <alignment horizontal="center" vertical="center" wrapText="1"/>
    </xf>
    <xf numFmtId="174" fontId="19" fillId="61" borderId="106" xfId="0" applyNumberFormat="1" applyFont="1" applyFill="1" applyBorder="1" applyAlignment="1">
      <alignment horizontal="center" vertical="center" wrapText="1"/>
    </xf>
    <xf numFmtId="174" fontId="19" fillId="61" borderId="107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174" fontId="18" fillId="27" borderId="62" xfId="0" applyNumberFormat="1" applyFont="1" applyFill="1" applyBorder="1" applyAlignment="1">
      <alignment horizontal="right" vertical="center"/>
    </xf>
    <xf numFmtId="174" fontId="18" fillId="27" borderId="66" xfId="0" applyNumberFormat="1" applyFont="1" applyFill="1" applyBorder="1" applyAlignment="1">
      <alignment horizontal="right" vertical="center"/>
    </xf>
    <xf numFmtId="174" fontId="18" fillId="27" borderId="96" xfId="0" applyNumberFormat="1" applyFont="1" applyFill="1" applyBorder="1" applyAlignment="1">
      <alignment horizontal="right" vertical="center"/>
    </xf>
    <xf numFmtId="174" fontId="37" fillId="60" borderId="94" xfId="0" applyNumberFormat="1" applyFont="1" applyFill="1" applyBorder="1" applyAlignment="1">
      <alignment horizontal="center" vertical="center" wrapText="1"/>
    </xf>
    <xf numFmtId="174" fontId="37" fillId="60" borderId="98" xfId="0" applyNumberFormat="1" applyFont="1" applyFill="1" applyBorder="1" applyAlignment="1">
      <alignment horizontal="center" vertical="center" wrapText="1"/>
    </xf>
    <xf numFmtId="174" fontId="37" fillId="60" borderId="95" xfId="0" applyNumberFormat="1" applyFont="1" applyFill="1" applyBorder="1" applyAlignment="1">
      <alignment horizontal="center" vertical="center" wrapText="1"/>
    </xf>
    <xf numFmtId="0" fontId="19" fillId="28" borderId="31" xfId="0" applyFont="1" applyFill="1" applyBorder="1" applyAlignment="1">
      <alignment horizontal="center" vertical="center" wrapText="1"/>
    </xf>
    <xf numFmtId="0" fontId="19" fillId="28" borderId="36" xfId="0" applyFont="1" applyFill="1" applyBorder="1" applyAlignment="1">
      <alignment horizontal="center" vertical="center" wrapText="1"/>
    </xf>
    <xf numFmtId="0" fontId="19" fillId="28" borderId="53" xfId="0" applyFont="1" applyFill="1" applyBorder="1" applyAlignment="1">
      <alignment horizontal="center" vertical="center" wrapText="1"/>
    </xf>
    <xf numFmtId="174" fontId="37" fillId="60" borderId="82" xfId="0" applyNumberFormat="1" applyFont="1" applyFill="1" applyBorder="1" applyAlignment="1">
      <alignment horizontal="center" vertical="center" wrapText="1"/>
    </xf>
    <xf numFmtId="174" fontId="37" fillId="60" borderId="118" xfId="0" applyNumberFormat="1" applyFont="1" applyFill="1" applyBorder="1" applyAlignment="1">
      <alignment horizontal="center" vertical="center" wrapText="1"/>
    </xf>
    <xf numFmtId="174" fontId="37" fillId="60" borderId="119" xfId="0" applyNumberFormat="1" applyFont="1" applyFill="1" applyBorder="1" applyAlignment="1">
      <alignment horizontal="center" vertical="center" wrapText="1"/>
    </xf>
    <xf numFmtId="0" fontId="35" fillId="14" borderId="0" xfId="0" applyFont="1" applyFill="1" applyAlignment="1">
      <alignment horizontal="left" vertical="center" indent="2"/>
    </xf>
    <xf numFmtId="174" fontId="12" fillId="13" borderId="48" xfId="0" applyNumberFormat="1" applyFont="1" applyFill="1" applyBorder="1" applyAlignment="1">
      <alignment horizontal="center" vertical="center" wrapText="1"/>
    </xf>
    <xf numFmtId="174" fontId="12" fillId="13" borderId="49" xfId="0" applyNumberFormat="1" applyFont="1" applyFill="1" applyBorder="1" applyAlignment="1">
      <alignment horizontal="center" vertical="center" wrapText="1"/>
    </xf>
    <xf numFmtId="174" fontId="12" fillId="13" borderId="50" xfId="0" applyNumberFormat="1" applyFont="1" applyFill="1" applyBorder="1" applyAlignment="1">
      <alignment horizontal="center" vertical="center" wrapText="1"/>
    </xf>
    <xf numFmtId="0" fontId="19" fillId="18" borderId="24" xfId="0" applyFont="1" applyFill="1" applyBorder="1" applyAlignment="1">
      <alignment horizontal="center" vertical="center" wrapText="1"/>
    </xf>
    <xf numFmtId="0" fontId="19" fillId="18" borderId="90" xfId="0" applyFont="1" applyFill="1" applyBorder="1" applyAlignment="1">
      <alignment horizontal="center" vertical="center" wrapText="1"/>
    </xf>
    <xf numFmtId="174" fontId="37" fillId="60" borderId="120" xfId="0" applyNumberFormat="1" applyFont="1" applyFill="1" applyBorder="1" applyAlignment="1">
      <alignment horizontal="center" vertical="center" wrapText="1"/>
    </xf>
    <xf numFmtId="174" fontId="37" fillId="60" borderId="116" xfId="0" applyNumberFormat="1" applyFont="1" applyFill="1" applyBorder="1" applyAlignment="1">
      <alignment horizontal="center" vertical="center" wrapText="1"/>
    </xf>
    <xf numFmtId="174" fontId="37" fillId="60" borderId="121" xfId="0" applyNumberFormat="1" applyFont="1" applyFill="1" applyBorder="1" applyAlignment="1">
      <alignment horizontal="center" vertical="center" wrapText="1"/>
    </xf>
    <xf numFmtId="0" fontId="19" fillId="13" borderId="31" xfId="0" applyFont="1" applyFill="1" applyBorder="1" applyAlignment="1">
      <alignment horizontal="center" vertical="center" wrapText="1"/>
    </xf>
    <xf numFmtId="0" fontId="19" fillId="13" borderId="53" xfId="0" applyFont="1" applyFill="1" applyBorder="1" applyAlignment="1">
      <alignment horizontal="center" vertical="center" wrapText="1"/>
    </xf>
    <xf numFmtId="174" fontId="37" fillId="60" borderId="117" xfId="0" applyNumberFormat="1" applyFont="1" applyFill="1" applyBorder="1" applyAlignment="1">
      <alignment horizontal="center" vertical="center" wrapText="1"/>
    </xf>
    <xf numFmtId="174" fontId="37" fillId="60" borderId="42" xfId="0" applyNumberFormat="1" applyFont="1" applyFill="1" applyBorder="1" applyAlignment="1">
      <alignment horizontal="center" vertical="center" wrapText="1"/>
    </xf>
    <xf numFmtId="174" fontId="37" fillId="60" borderId="58" xfId="0" applyNumberFormat="1" applyFont="1" applyFill="1" applyBorder="1" applyAlignment="1">
      <alignment horizontal="center" vertical="center" wrapText="1"/>
    </xf>
    <xf numFmtId="174" fontId="37" fillId="60" borderId="43" xfId="0" applyNumberFormat="1" applyFont="1" applyFill="1" applyBorder="1" applyAlignment="1">
      <alignment horizontal="center" vertical="center" wrapText="1"/>
    </xf>
    <xf numFmtId="0" fontId="18" fillId="37" borderId="31" xfId="0" applyFont="1" applyFill="1" applyBorder="1" applyAlignment="1">
      <alignment horizontal="center" vertical="center" wrapText="1"/>
    </xf>
    <xf numFmtId="0" fontId="18" fillId="37" borderId="40" xfId="0" applyFont="1" applyFill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174" fontId="37" fillId="60" borderId="50" xfId="0" applyNumberFormat="1" applyFont="1" applyFill="1" applyBorder="1" applyAlignment="1">
      <alignment horizontal="center" vertical="center" wrapText="1"/>
    </xf>
    <xf numFmtId="174" fontId="37" fillId="60" borderId="83" xfId="0" applyNumberFormat="1" applyFont="1" applyFill="1" applyBorder="1" applyAlignment="1">
      <alignment horizontal="center" vertical="center" wrapText="1"/>
    </xf>
    <xf numFmtId="0" fontId="19" fillId="18" borderId="26" xfId="0" applyFont="1" applyFill="1" applyBorder="1" applyAlignment="1">
      <alignment horizontal="center" vertical="center" wrapText="1"/>
    </xf>
    <xf numFmtId="0" fontId="19" fillId="18" borderId="29" xfId="0" applyFont="1" applyFill="1" applyBorder="1" applyAlignment="1">
      <alignment horizontal="center" vertical="center" wrapText="1"/>
    </xf>
    <xf numFmtId="0" fontId="19" fillId="13" borderId="71" xfId="0" applyFont="1" applyFill="1" applyBorder="1" applyAlignment="1">
      <alignment horizontal="center" vertical="center" wrapText="1"/>
    </xf>
    <xf numFmtId="0" fontId="19" fillId="13" borderId="113" xfId="0" applyFont="1" applyFill="1" applyBorder="1" applyAlignment="1">
      <alignment horizontal="center" vertical="center" wrapText="1"/>
    </xf>
    <xf numFmtId="0" fontId="18" fillId="0" borderId="113" xfId="0" applyFont="1" applyBorder="1" applyAlignment="1">
      <alignment horizontal="center" vertical="center" wrapText="1"/>
    </xf>
    <xf numFmtId="0" fontId="19" fillId="63" borderId="114" xfId="0" applyFont="1" applyFill="1" applyBorder="1" applyAlignment="1" applyProtection="1">
      <alignment horizontal="center" vertical="center"/>
      <protection locked="0"/>
    </xf>
    <xf numFmtId="0" fontId="19" fillId="63" borderId="115" xfId="0" applyFont="1" applyFill="1" applyBorder="1" applyAlignment="1" applyProtection="1">
      <alignment horizontal="center" vertical="center"/>
      <protection locked="0"/>
    </xf>
    <xf numFmtId="0" fontId="18" fillId="37" borderId="36" xfId="0" applyFont="1" applyFill="1" applyBorder="1" applyAlignment="1">
      <alignment horizontal="center" vertical="center" wrapText="1"/>
    </xf>
    <xf numFmtId="0" fontId="10" fillId="18" borderId="105" xfId="0" applyFont="1" applyFill="1" applyBorder="1" applyAlignment="1">
      <alignment horizontal="center" vertical="center"/>
    </xf>
    <xf numFmtId="0" fontId="10" fillId="18" borderId="124" xfId="0" applyFont="1" applyFill="1" applyBorder="1" applyAlignment="1">
      <alignment horizontal="center" vertical="center"/>
    </xf>
    <xf numFmtId="0" fontId="12" fillId="47" borderId="106" xfId="0" applyFont="1" applyFill="1" applyBorder="1" applyAlignment="1">
      <alignment horizontal="center" vertical="center"/>
    </xf>
    <xf numFmtId="0" fontId="12" fillId="47" borderId="125" xfId="0" applyFont="1" applyFill="1" applyBorder="1" applyAlignment="1">
      <alignment horizontal="center" vertical="center"/>
    </xf>
    <xf numFmtId="0" fontId="10" fillId="13" borderId="112" xfId="0" applyFont="1" applyFill="1" applyBorder="1" applyAlignment="1">
      <alignment horizontal="center" vertical="center"/>
    </xf>
    <xf numFmtId="0" fontId="10" fillId="13" borderId="122" xfId="0" applyFont="1" applyFill="1" applyBorder="1" applyAlignment="1">
      <alignment horizontal="center" vertical="center"/>
    </xf>
    <xf numFmtId="0" fontId="10" fillId="18" borderId="58" xfId="0" applyFont="1" applyFill="1" applyBorder="1" applyAlignment="1">
      <alignment horizontal="center" vertical="center" wrapText="1"/>
    </xf>
    <xf numFmtId="0" fontId="10" fillId="18" borderId="23" xfId="0" applyFont="1" applyFill="1" applyBorder="1" applyAlignment="1">
      <alignment horizontal="center" vertical="center" wrapText="1"/>
    </xf>
    <xf numFmtId="0" fontId="10" fillId="47" borderId="58" xfId="0" applyFont="1" applyFill="1" applyBorder="1" applyAlignment="1">
      <alignment horizontal="center" vertical="center"/>
    </xf>
    <xf numFmtId="0" fontId="43" fillId="28" borderId="19" xfId="0" applyFont="1" applyFill="1" applyBorder="1" applyAlignment="1">
      <alignment horizontal="center" vertical="center" wrapText="1"/>
    </xf>
    <xf numFmtId="0" fontId="43" fillId="28" borderId="64" xfId="0" applyFont="1" applyFill="1" applyBorder="1" applyAlignment="1">
      <alignment horizontal="center" vertical="center" wrapText="1"/>
    </xf>
    <xf numFmtId="0" fontId="44" fillId="65" borderId="17" xfId="0" applyFont="1" applyFill="1" applyBorder="1" applyAlignment="1">
      <alignment horizontal="center" vertical="center" wrapText="1"/>
    </xf>
    <xf numFmtId="0" fontId="44" fillId="65" borderId="127" xfId="0" applyFont="1" applyFill="1" applyBorder="1" applyAlignment="1">
      <alignment horizontal="center" vertical="center" wrapText="1"/>
    </xf>
    <xf numFmtId="172" fontId="12" fillId="64" borderId="43" xfId="20" applyFont="1" applyFill="1" applyBorder="1" applyAlignment="1">
      <alignment horizontal="center" vertical="center" wrapText="1"/>
    </xf>
    <xf numFmtId="172" fontId="12" fillId="64" borderId="41" xfId="20" applyFont="1" applyFill="1" applyBorder="1" applyAlignment="1">
      <alignment horizontal="center" vertical="center" wrapText="1"/>
    </xf>
    <xf numFmtId="172" fontId="12" fillId="64" borderId="50" xfId="20" applyFont="1" applyFill="1" applyBorder="1" applyAlignment="1">
      <alignment horizontal="center" vertical="center" wrapText="1"/>
    </xf>
    <xf numFmtId="172" fontId="12" fillId="64" borderId="57" xfId="2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3" fillId="28" borderId="19" xfId="0" applyFont="1" applyFill="1" applyBorder="1" applyAlignment="1">
      <alignment horizontal="center" vertical="center"/>
    </xf>
    <xf numFmtId="0" fontId="43" fillId="28" borderId="64" xfId="0" applyFont="1" applyFill="1" applyBorder="1" applyAlignment="1">
      <alignment horizontal="center" vertical="center"/>
    </xf>
    <xf numFmtId="180" fontId="37" fillId="48" borderId="0" xfId="16" applyNumberFormat="1" applyFont="1" applyFill="1" applyAlignment="1">
      <alignment horizontal="right" vertical="center" wrapText="1"/>
    </xf>
    <xf numFmtId="180" fontId="37" fillId="48" borderId="126" xfId="16" applyNumberFormat="1" applyFont="1" applyFill="1" applyBorder="1" applyAlignment="1">
      <alignment horizontal="right" vertical="center" wrapText="1"/>
    </xf>
    <xf numFmtId="0" fontId="19" fillId="0" borderId="94" xfId="0" applyFont="1" applyBorder="1" applyAlignment="1">
      <alignment horizontal="center" vertical="top" wrapText="1"/>
    </xf>
    <xf numFmtId="0" fontId="19" fillId="0" borderId="123" xfId="0" applyFont="1" applyBorder="1" applyAlignment="1">
      <alignment horizontal="center" vertical="top" wrapText="1"/>
    </xf>
    <xf numFmtId="0" fontId="19" fillId="0" borderId="44" xfId="0" applyFont="1" applyBorder="1" applyAlignment="1">
      <alignment horizontal="center" vertical="top" wrapText="1"/>
    </xf>
    <xf numFmtId="174" fontId="10" fillId="23" borderId="81" xfId="20" applyNumberFormat="1" applyFont="1" applyFill="1" applyBorder="1" applyAlignment="1">
      <alignment horizontal="center" vertical="center"/>
    </xf>
    <xf numFmtId="174" fontId="10" fillId="23" borderId="16" xfId="20" applyNumberFormat="1" applyFont="1" applyFill="1" applyBorder="1" applyAlignment="1">
      <alignment horizontal="center" vertical="center"/>
    </xf>
    <xf numFmtId="174" fontId="10" fillId="24" borderId="39" xfId="20" applyNumberFormat="1" applyFont="1" applyFill="1" applyBorder="1" applyAlignment="1">
      <alignment horizontal="center" vertical="center"/>
    </xf>
    <xf numFmtId="174" fontId="10" fillId="24" borderId="81" xfId="20" applyNumberFormat="1" applyFont="1" applyFill="1" applyBorder="1" applyAlignment="1">
      <alignment horizontal="center" vertical="center"/>
    </xf>
    <xf numFmtId="174" fontId="10" fillId="24" borderId="16" xfId="2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12" fillId="47" borderId="19" xfId="0" applyFont="1" applyFill="1" applyBorder="1" applyAlignment="1">
      <alignment horizontal="center" vertical="center" wrapText="1"/>
    </xf>
    <xf numFmtId="0" fontId="12" fillId="47" borderId="64" xfId="0" applyFont="1" applyFill="1" applyBorder="1" applyAlignment="1">
      <alignment horizontal="center" vertical="center" wrapText="1"/>
    </xf>
    <xf numFmtId="0" fontId="10" fillId="13" borderId="19" xfId="0" applyFont="1" applyFill="1" applyBorder="1" applyAlignment="1">
      <alignment horizontal="center" vertical="center" wrapText="1"/>
    </xf>
    <xf numFmtId="0" fontId="10" fillId="13" borderId="64" xfId="0" applyFont="1" applyFill="1" applyBorder="1" applyAlignment="1">
      <alignment horizontal="center" vertical="center" wrapText="1"/>
    </xf>
    <xf numFmtId="0" fontId="12" fillId="32" borderId="28" xfId="0" applyFont="1" applyFill="1" applyBorder="1" applyAlignment="1">
      <alignment horizontal="center" vertical="center" wrapText="1"/>
    </xf>
    <xf numFmtId="0" fontId="12" fillId="32" borderId="59" xfId="0" applyFont="1" applyFill="1" applyBorder="1" applyAlignment="1">
      <alignment horizontal="center" vertical="center" wrapText="1"/>
    </xf>
    <xf numFmtId="0" fontId="31" fillId="29" borderId="71" xfId="0" applyFont="1" applyFill="1" applyBorder="1" applyAlignment="1">
      <alignment horizontal="center" vertical="center"/>
    </xf>
    <xf numFmtId="0" fontId="31" fillId="29" borderId="130" xfId="0" applyFont="1" applyFill="1" applyBorder="1" applyAlignment="1">
      <alignment horizontal="center" vertical="center"/>
    </xf>
    <xf numFmtId="0" fontId="31" fillId="31" borderId="71" xfId="0" applyFont="1" applyFill="1" applyBorder="1" applyAlignment="1">
      <alignment horizontal="center" vertical="center"/>
    </xf>
    <xf numFmtId="0" fontId="31" fillId="31" borderId="128" xfId="0" applyFont="1" applyFill="1" applyBorder="1" applyAlignment="1">
      <alignment horizontal="center" vertical="center"/>
    </xf>
    <xf numFmtId="0" fontId="12" fillId="18" borderId="98" xfId="0" applyFont="1" applyFill="1" applyBorder="1" applyAlignment="1">
      <alignment horizontal="center" vertical="center" wrapText="1"/>
    </xf>
    <xf numFmtId="0" fontId="12" fillId="18" borderId="131" xfId="0" applyFont="1" applyFill="1" applyBorder="1" applyAlignment="1">
      <alignment horizontal="center" vertical="center" wrapText="1"/>
    </xf>
    <xf numFmtId="0" fontId="12" fillId="18" borderId="101" xfId="0" applyFont="1" applyFill="1" applyBorder="1" applyAlignment="1">
      <alignment horizontal="center" vertical="center" wrapText="1"/>
    </xf>
    <xf numFmtId="0" fontId="12" fillId="18" borderId="79" xfId="0" applyFont="1" applyFill="1" applyBorder="1" applyAlignment="1">
      <alignment horizontal="center" vertical="center" wrapText="1"/>
    </xf>
    <xf numFmtId="0" fontId="18" fillId="18" borderId="71" xfId="0" applyFont="1" applyFill="1" applyBorder="1" applyAlignment="1">
      <alignment horizontal="center" vertical="center"/>
    </xf>
    <xf numFmtId="0" fontId="18" fillId="18" borderId="130" xfId="0" applyFont="1" applyFill="1" applyBorder="1" applyAlignment="1">
      <alignment horizontal="center" vertical="center"/>
    </xf>
    <xf numFmtId="0" fontId="18" fillId="18" borderId="128" xfId="0" applyFont="1" applyFill="1" applyBorder="1" applyAlignment="1">
      <alignment horizontal="center" vertical="center"/>
    </xf>
    <xf numFmtId="0" fontId="19" fillId="30" borderId="28" xfId="0" applyFont="1" applyFill="1" applyBorder="1" applyAlignment="1">
      <alignment horizontal="center" vertical="center" textRotation="90" wrapText="1"/>
    </xf>
    <xf numFmtId="0" fontId="19" fillId="30" borderId="109" xfId="0" applyFont="1" applyFill="1" applyBorder="1" applyAlignment="1">
      <alignment horizontal="center" vertical="center" textRotation="90" wrapText="1"/>
    </xf>
    <xf numFmtId="0" fontId="19" fillId="30" borderId="59" xfId="0" applyFont="1" applyFill="1" applyBorder="1" applyAlignment="1">
      <alignment horizontal="center" vertical="center" textRotation="90" wrapText="1"/>
    </xf>
    <xf numFmtId="0" fontId="19" fillId="30" borderId="28" xfId="0" applyFont="1" applyFill="1" applyBorder="1" applyAlignment="1">
      <alignment horizontal="left" vertical="center" wrapText="1"/>
    </xf>
    <xf numFmtId="0" fontId="19" fillId="30" borderId="109" xfId="0" applyFont="1" applyFill="1" applyBorder="1" applyAlignment="1">
      <alignment horizontal="left" vertical="center" wrapText="1"/>
    </xf>
    <xf numFmtId="0" fontId="19" fillId="30" borderId="59" xfId="0" applyFont="1" applyFill="1" applyBorder="1" applyAlignment="1">
      <alignment horizontal="left" vertical="center" wrapText="1"/>
    </xf>
    <xf numFmtId="0" fontId="20" fillId="30" borderId="50" xfId="0" applyFont="1" applyFill="1" applyBorder="1" applyAlignment="1">
      <alignment horizontal="center" vertical="center" textRotation="90" wrapText="1"/>
    </xf>
    <xf numFmtId="0" fontId="20" fillId="30" borderId="52" xfId="0" applyFont="1" applyFill="1" applyBorder="1" applyAlignment="1">
      <alignment horizontal="center" vertical="center" textRotation="90" wrapText="1"/>
    </xf>
    <xf numFmtId="0" fontId="20" fillId="30" borderId="57" xfId="0" applyFont="1" applyFill="1" applyBorder="1" applyAlignment="1">
      <alignment horizontal="center" vertical="center" textRotation="90" wrapText="1"/>
    </xf>
    <xf numFmtId="0" fontId="19" fillId="21" borderId="26" xfId="0" applyFont="1" applyFill="1" applyBorder="1" applyAlignment="1" applyProtection="1">
      <alignment horizontal="left" vertical="center" wrapText="1"/>
      <protection locked="0"/>
    </xf>
    <xf numFmtId="0" fontId="19" fillId="21" borderId="27" xfId="0" applyFont="1" applyFill="1" applyBorder="1" applyAlignment="1" applyProtection="1">
      <alignment horizontal="left" vertical="center" wrapText="1"/>
      <protection locked="0"/>
    </xf>
    <xf numFmtId="0" fontId="19" fillId="21" borderId="25" xfId="0" applyFont="1" applyFill="1" applyBorder="1" applyAlignment="1" applyProtection="1">
      <alignment horizontal="left" vertical="center" wrapText="1"/>
      <protection locked="0"/>
    </xf>
    <xf numFmtId="0" fontId="19" fillId="21" borderId="28" xfId="0" applyFont="1" applyFill="1" applyBorder="1" applyAlignment="1" applyProtection="1">
      <alignment horizontal="left" vertical="center" wrapText="1"/>
      <protection locked="0"/>
    </xf>
    <xf numFmtId="0" fontId="19" fillId="21" borderId="109" xfId="0" applyFont="1" applyFill="1" applyBorder="1" applyAlignment="1" applyProtection="1">
      <alignment horizontal="left" vertical="center" wrapText="1"/>
      <protection locked="0"/>
    </xf>
    <xf numFmtId="0" fontId="19" fillId="21" borderId="59" xfId="0" applyFont="1" applyFill="1" applyBorder="1" applyAlignment="1" applyProtection="1">
      <alignment horizontal="left" vertical="center" wrapText="1"/>
      <protection locked="0"/>
    </xf>
    <xf numFmtId="0" fontId="31" fillId="30" borderId="130" xfId="0" applyFont="1" applyFill="1" applyBorder="1" applyAlignment="1">
      <alignment horizontal="center" vertical="center"/>
    </xf>
    <xf numFmtId="0" fontId="12" fillId="18" borderId="48" xfId="0" applyFont="1" applyFill="1" applyBorder="1" applyAlignment="1">
      <alignment horizontal="center" vertical="center" wrapText="1"/>
    </xf>
    <xf numFmtId="0" fontId="12" fillId="18" borderId="100" xfId="0" applyFont="1" applyFill="1" applyBorder="1" applyAlignment="1">
      <alignment horizontal="center" vertical="center" wrapText="1"/>
    </xf>
    <xf numFmtId="0" fontId="12" fillId="18" borderId="51" xfId="0" applyFont="1" applyFill="1" applyBorder="1" applyAlignment="1">
      <alignment horizontal="center" vertical="center" wrapText="1"/>
    </xf>
    <xf numFmtId="0" fontId="12" fillId="18" borderId="126" xfId="0" applyFont="1" applyFill="1" applyBorder="1" applyAlignment="1">
      <alignment horizontal="center" vertical="center" wrapText="1"/>
    </xf>
    <xf numFmtId="0" fontId="12" fillId="18" borderId="98" xfId="0" applyFont="1" applyFill="1" applyBorder="1" applyAlignment="1">
      <alignment horizontal="center" vertical="center"/>
    </xf>
    <xf numFmtId="0" fontId="12" fillId="18" borderId="131" xfId="0" applyFont="1" applyFill="1" applyBorder="1" applyAlignment="1">
      <alignment horizontal="center" vertical="center"/>
    </xf>
    <xf numFmtId="0" fontId="10" fillId="18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1" fillId="30" borderId="71" xfId="0" applyFont="1" applyFill="1" applyBorder="1" applyAlignment="1">
      <alignment horizontal="center" vertical="center"/>
    </xf>
    <xf numFmtId="0" fontId="31" fillId="30" borderId="128" xfId="0" applyFont="1" applyFill="1" applyBorder="1" applyAlignment="1">
      <alignment horizontal="center" vertical="center"/>
    </xf>
    <xf numFmtId="0" fontId="9" fillId="29" borderId="73" xfId="0" applyFont="1" applyFill="1" applyBorder="1" applyAlignment="1">
      <alignment horizontal="center" vertical="center"/>
    </xf>
    <xf numFmtId="0" fontId="9" fillId="29" borderId="88" xfId="0" applyFont="1" applyFill="1" applyBorder="1" applyAlignment="1">
      <alignment horizontal="center" vertical="center"/>
    </xf>
    <xf numFmtId="0" fontId="31" fillId="29" borderId="31" xfId="0" applyFont="1" applyFill="1" applyBorder="1" applyAlignment="1">
      <alignment horizontal="center" vertical="center"/>
    </xf>
    <xf numFmtId="0" fontId="31" fillId="29" borderId="24" xfId="0" applyFont="1" applyFill="1" applyBorder="1" applyAlignment="1">
      <alignment horizontal="center" vertical="center"/>
    </xf>
    <xf numFmtId="0" fontId="31" fillId="31" borderId="31" xfId="0" applyFont="1" applyFill="1" applyBorder="1" applyAlignment="1">
      <alignment horizontal="center" vertical="center"/>
    </xf>
    <xf numFmtId="0" fontId="31" fillId="31" borderId="43" xfId="0" applyFont="1" applyFill="1" applyBorder="1" applyAlignment="1">
      <alignment horizontal="center" vertical="center"/>
    </xf>
    <xf numFmtId="0" fontId="31" fillId="30" borderId="42" xfId="0" applyFont="1" applyFill="1" applyBorder="1" applyAlignment="1">
      <alignment horizontal="center" vertical="center"/>
    </xf>
    <xf numFmtId="0" fontId="31" fillId="30" borderId="43" xfId="0" applyFont="1" applyFill="1" applyBorder="1" applyAlignment="1">
      <alignment horizontal="center" vertical="center"/>
    </xf>
    <xf numFmtId="0" fontId="12" fillId="18" borderId="28" xfId="0" applyFont="1" applyFill="1" applyBorder="1" applyAlignment="1">
      <alignment horizontal="center" vertical="center" wrapText="1"/>
    </xf>
    <xf numFmtId="0" fontId="12" fillId="18" borderId="59" xfId="0" applyFont="1" applyFill="1" applyBorder="1" applyAlignment="1">
      <alignment horizontal="center" vertical="center" wrapText="1"/>
    </xf>
    <xf numFmtId="0" fontId="31" fillId="29" borderId="128" xfId="0" applyFont="1" applyFill="1" applyBorder="1" applyAlignment="1">
      <alignment horizontal="center" vertical="center"/>
    </xf>
    <xf numFmtId="183" fontId="0" fillId="20" borderId="103" xfId="0" applyNumberFormat="1" applyFill="1" applyBorder="1" applyAlignment="1">
      <alignment horizontal="center" vertical="center"/>
    </xf>
    <xf numFmtId="183" fontId="0" fillId="20" borderId="129" xfId="0" applyNumberFormat="1" applyFill="1" applyBorder="1" applyAlignment="1">
      <alignment horizontal="center" vertical="center"/>
    </xf>
    <xf numFmtId="0" fontId="9" fillId="31" borderId="73" xfId="0" applyFont="1" applyFill="1" applyBorder="1" applyAlignment="1">
      <alignment horizontal="center" vertical="center"/>
    </xf>
    <xf numFmtId="0" fontId="9" fillId="31" borderId="88" xfId="0" applyFont="1" applyFill="1" applyBorder="1" applyAlignment="1">
      <alignment horizontal="center" vertical="center"/>
    </xf>
    <xf numFmtId="0" fontId="9" fillId="30" borderId="73" xfId="0" applyFont="1" applyFill="1" applyBorder="1" applyAlignment="1">
      <alignment horizontal="center" vertical="center"/>
    </xf>
    <xf numFmtId="0" fontId="9" fillId="30" borderId="88" xfId="0" applyFont="1" applyFill="1" applyBorder="1" applyAlignment="1">
      <alignment horizontal="center" vertical="center"/>
    </xf>
    <xf numFmtId="0" fontId="19" fillId="21" borderId="39" xfId="0" applyFont="1" applyFill="1" applyBorder="1" applyAlignment="1" applyProtection="1">
      <alignment horizontal="center" vertical="center"/>
      <protection locked="0"/>
    </xf>
    <xf numFmtId="0" fontId="19" fillId="21" borderId="16" xfId="0" applyFont="1" applyFill="1" applyBorder="1" applyAlignment="1" applyProtection="1">
      <alignment horizontal="center" vertical="center"/>
      <protection locked="0"/>
    </xf>
    <xf numFmtId="174" fontId="19" fillId="47" borderId="31" xfId="0" applyNumberFormat="1" applyFont="1" applyFill="1" applyBorder="1" applyAlignment="1">
      <alignment horizontal="center" vertical="center" wrapText="1"/>
    </xf>
    <xf numFmtId="174" fontId="19" fillId="47" borderId="58" xfId="0" applyNumberFormat="1" applyFont="1" applyFill="1" applyBorder="1" applyAlignment="1">
      <alignment horizontal="center" vertical="center" wrapText="1"/>
    </xf>
    <xf numFmtId="174" fontId="19" fillId="47" borderId="43" xfId="0" applyNumberFormat="1" applyFont="1" applyFill="1" applyBorder="1" applyAlignment="1">
      <alignment horizontal="center" vertical="center" wrapText="1"/>
    </xf>
    <xf numFmtId="0" fontId="19" fillId="18" borderId="31" xfId="0" applyFont="1" applyFill="1" applyBorder="1" applyAlignment="1">
      <alignment horizontal="center" vertical="center"/>
    </xf>
    <xf numFmtId="0" fontId="19" fillId="18" borderId="58" xfId="0" applyFont="1" applyFill="1" applyBorder="1" applyAlignment="1">
      <alignment horizontal="center" vertical="center"/>
    </xf>
    <xf numFmtId="0" fontId="19" fillId="18" borderId="43" xfId="0" applyFont="1" applyFill="1" applyBorder="1" applyAlignment="1">
      <alignment horizontal="center" vertical="center"/>
    </xf>
    <xf numFmtId="174" fontId="37" fillId="60" borderId="31" xfId="0" applyNumberFormat="1" applyFont="1" applyFill="1" applyBorder="1" applyAlignment="1">
      <alignment horizontal="center" vertical="center" wrapText="1"/>
    </xf>
    <xf numFmtId="0" fontId="12" fillId="13" borderId="31" xfId="0" applyFont="1" applyFill="1" applyBorder="1" applyAlignment="1">
      <alignment horizontal="center" vertical="center" wrapText="1"/>
    </xf>
    <xf numFmtId="0" fontId="12" fillId="13" borderId="53" xfId="0" applyFont="1" applyFill="1" applyBorder="1" applyAlignment="1">
      <alignment horizontal="center" vertical="center" wrapText="1"/>
    </xf>
    <xf numFmtId="0" fontId="12" fillId="13" borderId="24" xfId="0" applyFont="1" applyFill="1" applyBorder="1" applyAlignment="1">
      <alignment horizontal="center" vertical="center" wrapText="1"/>
    </xf>
    <xf numFmtId="0" fontId="12" fillId="13" borderId="90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14" borderId="28" xfId="0" applyFont="1" applyFill="1" applyBorder="1" applyAlignment="1">
      <alignment horizontal="center" vertical="center" wrapText="1"/>
    </xf>
    <xf numFmtId="0" fontId="19" fillId="14" borderId="109" xfId="0" applyFont="1" applyFill="1" applyBorder="1" applyAlignment="1">
      <alignment horizontal="center" vertical="center" wrapText="1"/>
    </xf>
    <xf numFmtId="0" fontId="19" fillId="14" borderId="59" xfId="0" applyFont="1" applyFill="1" applyBorder="1" applyAlignment="1">
      <alignment horizontal="center" vertical="center" wrapText="1"/>
    </xf>
    <xf numFmtId="183" fontId="19" fillId="19" borderId="50" xfId="0" applyNumberFormat="1" applyFont="1" applyFill="1" applyBorder="1" applyAlignment="1">
      <alignment horizontal="right" vertical="center"/>
    </xf>
    <xf numFmtId="183" fontId="19" fillId="19" borderId="52" xfId="0" applyNumberFormat="1" applyFont="1" applyFill="1" applyBorder="1" applyAlignment="1">
      <alignment horizontal="right" vertical="center"/>
    </xf>
    <xf numFmtId="183" fontId="19" fillId="19" borderId="57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12" fillId="18" borderId="100" xfId="0" applyFont="1" applyFill="1" applyBorder="1" applyAlignment="1">
      <alignment horizontal="center" vertical="center"/>
    </xf>
    <xf numFmtId="0" fontId="12" fillId="18" borderId="126" xfId="0" applyFont="1" applyFill="1" applyBorder="1" applyAlignment="1">
      <alignment horizontal="center" vertical="center"/>
    </xf>
    <xf numFmtId="0" fontId="12" fillId="32" borderId="50" xfId="0" applyFont="1" applyFill="1" applyBorder="1" applyAlignment="1">
      <alignment horizontal="center" vertical="center" wrapText="1"/>
    </xf>
    <xf numFmtId="0" fontId="12" fillId="32" borderId="57" xfId="0" applyFont="1" applyFill="1" applyBorder="1" applyAlignment="1">
      <alignment horizontal="center" vertical="center" wrapText="1"/>
    </xf>
    <xf numFmtId="0" fontId="12" fillId="32" borderId="109" xfId="0" applyFont="1" applyFill="1" applyBorder="1" applyAlignment="1">
      <alignment horizontal="center" vertical="center" wrapText="1"/>
    </xf>
    <xf numFmtId="0" fontId="12" fillId="32" borderId="52" xfId="0" applyFont="1" applyFill="1" applyBorder="1" applyAlignment="1">
      <alignment horizontal="center" vertical="center" wrapText="1"/>
    </xf>
    <xf numFmtId="0" fontId="12" fillId="18" borderId="109" xfId="0" applyFont="1" applyFill="1" applyBorder="1" applyAlignment="1">
      <alignment horizontal="center" vertical="center" wrapText="1"/>
    </xf>
    <xf numFmtId="0" fontId="12" fillId="18" borderId="42" xfId="0" applyFont="1" applyFill="1" applyBorder="1" applyAlignment="1">
      <alignment horizontal="center" vertical="center"/>
    </xf>
    <xf numFmtId="0" fontId="12" fillId="18" borderId="43" xfId="0" applyFont="1" applyFill="1" applyBorder="1" applyAlignment="1">
      <alignment horizontal="center" vertical="center"/>
    </xf>
    <xf numFmtId="0" fontId="18" fillId="0" borderId="140" xfId="0" applyFont="1" applyBorder="1" applyAlignment="1">
      <alignment horizontal="center" vertical="center" wrapText="1"/>
    </xf>
    <xf numFmtId="0" fontId="18" fillId="0" borderId="141" xfId="0" applyFont="1" applyBorder="1" applyAlignment="1">
      <alignment horizontal="center" vertical="center" wrapText="1"/>
    </xf>
    <xf numFmtId="0" fontId="18" fillId="0" borderId="142" xfId="0" applyFont="1" applyBorder="1" applyAlignment="1">
      <alignment horizontal="center" vertical="center" wrapText="1"/>
    </xf>
    <xf numFmtId="0" fontId="19" fillId="13" borderId="117" xfId="0" applyFont="1" applyFill="1" applyBorder="1" applyAlignment="1">
      <alignment horizontal="center" vertical="center" wrapText="1"/>
    </xf>
    <xf numFmtId="0" fontId="19" fillId="13" borderId="140" xfId="0" applyFont="1" applyFill="1" applyBorder="1" applyAlignment="1">
      <alignment horizontal="center" vertical="center" wrapText="1"/>
    </xf>
    <xf numFmtId="0" fontId="19" fillId="13" borderId="132" xfId="0" applyFont="1" applyFill="1" applyBorder="1" applyAlignment="1">
      <alignment horizontal="center" vertical="center" wrapText="1"/>
    </xf>
    <xf numFmtId="0" fontId="19" fillId="13" borderId="133" xfId="0" applyFont="1" applyFill="1" applyBorder="1" applyAlignment="1">
      <alignment horizontal="center" vertical="center" wrapText="1"/>
    </xf>
    <xf numFmtId="0" fontId="12" fillId="18" borderId="143" xfId="0" applyFont="1" applyFill="1" applyBorder="1" applyAlignment="1">
      <alignment horizontal="center" vertical="center"/>
    </xf>
    <xf numFmtId="0" fontId="12" fillId="18" borderId="77" xfId="0" applyFont="1" applyFill="1" applyBorder="1" applyAlignment="1">
      <alignment horizontal="center" vertical="center"/>
    </xf>
    <xf numFmtId="174" fontId="12" fillId="47" borderId="139" xfId="0" applyNumberFormat="1" applyFont="1" applyFill="1" applyBorder="1" applyAlignment="1">
      <alignment horizontal="center" vertical="center" wrapText="1"/>
    </xf>
    <xf numFmtId="174" fontId="12" fillId="47" borderId="118" xfId="0" applyNumberFormat="1" applyFont="1" applyFill="1" applyBorder="1" applyAlignment="1">
      <alignment horizontal="center" vertical="center" wrapText="1"/>
    </xf>
    <xf numFmtId="174" fontId="12" fillId="47" borderId="83" xfId="0" applyNumberFormat="1" applyFont="1" applyFill="1" applyBorder="1" applyAlignment="1">
      <alignment horizontal="center" vertical="center" wrapText="1"/>
    </xf>
    <xf numFmtId="0" fontId="12" fillId="18" borderId="50" xfId="0" applyFont="1" applyFill="1" applyBorder="1" applyAlignment="1">
      <alignment horizontal="center" vertical="center" wrapText="1"/>
    </xf>
    <xf numFmtId="0" fontId="12" fillId="18" borderId="52" xfId="0" applyFont="1" applyFill="1" applyBorder="1" applyAlignment="1">
      <alignment horizontal="center" vertical="center" wrapText="1"/>
    </xf>
    <xf numFmtId="0" fontId="12" fillId="18" borderId="134" xfId="0" applyFont="1" applyFill="1" applyBorder="1" applyAlignment="1">
      <alignment horizontal="center" vertical="center" wrapText="1"/>
    </xf>
    <xf numFmtId="0" fontId="12" fillId="18" borderId="135" xfId="0" applyFont="1" applyFill="1" applyBorder="1" applyAlignment="1">
      <alignment horizontal="center" vertical="center" wrapText="1"/>
    </xf>
    <xf numFmtId="0" fontId="12" fillId="18" borderId="136" xfId="0" applyFont="1" applyFill="1" applyBorder="1" applyAlignment="1">
      <alignment horizontal="center" vertical="center"/>
    </xf>
    <xf numFmtId="0" fontId="12" fillId="18" borderId="137" xfId="0" applyFont="1" applyFill="1" applyBorder="1" applyAlignment="1">
      <alignment horizontal="center" vertical="center"/>
    </xf>
    <xf numFmtId="0" fontId="0" fillId="66" borderId="90" xfId="0" applyFill="1" applyBorder="1" applyAlignment="1">
      <alignment horizontal="left" vertical="center" wrapText="1"/>
    </xf>
    <xf numFmtId="0" fontId="0" fillId="66" borderId="104" xfId="0" applyFill="1" applyBorder="1" applyAlignment="1">
      <alignment horizontal="left" vertical="center" wrapText="1"/>
    </xf>
    <xf numFmtId="0" fontId="0" fillId="66" borderId="17" xfId="0" applyFill="1" applyBorder="1" applyAlignment="1">
      <alignment horizontal="left" vertical="center" wrapText="1"/>
    </xf>
    <xf numFmtId="0" fontId="0" fillId="66" borderId="79" xfId="0" applyFill="1" applyBorder="1" applyAlignment="1">
      <alignment horizontal="left" vertical="center" wrapText="1"/>
    </xf>
    <xf numFmtId="0" fontId="0" fillId="66" borderId="0" xfId="0" applyFill="1" applyAlignment="1">
      <alignment horizontal="left" vertical="center" wrapText="1"/>
    </xf>
    <xf numFmtId="0" fontId="0" fillId="66" borderId="126" xfId="0" applyFill="1" applyBorder="1" applyAlignment="1">
      <alignment horizontal="left" vertical="center" wrapText="1"/>
    </xf>
    <xf numFmtId="0" fontId="0" fillId="66" borderId="65" xfId="0" applyFill="1" applyBorder="1" applyAlignment="1">
      <alignment horizontal="left" vertical="center" wrapText="1"/>
    </xf>
    <xf numFmtId="0" fontId="0" fillId="66" borderId="138" xfId="0" applyFill="1" applyBorder="1" applyAlignment="1">
      <alignment horizontal="left" vertical="center" wrapText="1"/>
    </xf>
    <xf numFmtId="0" fontId="0" fillId="66" borderId="18" xfId="0" applyFill="1" applyBorder="1" applyAlignment="1">
      <alignment horizontal="left" vertical="center" wrapText="1"/>
    </xf>
    <xf numFmtId="0" fontId="12" fillId="18" borderId="31" xfId="0" applyFont="1" applyFill="1" applyBorder="1" applyAlignment="1">
      <alignment horizontal="center" vertical="center"/>
    </xf>
  </cellXfs>
  <cellStyles count="37">
    <cellStyle name="Accent" xfId="1"/>
    <cellStyle name="Accent 1" xfId="2"/>
    <cellStyle name="Accent 2" xfId="3"/>
    <cellStyle name="Accent 3" xfId="4"/>
    <cellStyle name="Bad" xfId="5"/>
    <cellStyle name="Error" xfId="6"/>
    <cellStyle name="Euro" xfId="7"/>
    <cellStyle name="Euro 2" xfId="8"/>
    <cellStyle name="Euro 3" xfId="9"/>
    <cellStyle name="Footnote" xfId="10"/>
    <cellStyle name="Good" xfId="11"/>
    <cellStyle name="Heading" xfId="12"/>
    <cellStyle name="Heading 1" xfId="13"/>
    <cellStyle name="Heading 2" xfId="14"/>
    <cellStyle name="Hipervínculo" xfId="15" builtinId="8"/>
    <cellStyle name="Millares" xfId="16" builtinId="3"/>
    <cellStyle name="Millares [0]" xfId="17" builtinId="6"/>
    <cellStyle name="Millares 2" xfId="18"/>
    <cellStyle name="Millares 3" xfId="19"/>
    <cellStyle name="Moneda" xfId="20" builtinId="4"/>
    <cellStyle name="Moneda [0]" xfId="21" builtinId="7"/>
    <cellStyle name="Moneda [0] 2" xfId="22"/>
    <cellStyle name="Moneda 2" xfId="23"/>
    <cellStyle name="Moneda 3" xfId="24"/>
    <cellStyle name="Neutral" xfId="25" builtinId="28" customBuiltin="1"/>
    <cellStyle name="Normal" xfId="0" builtinId="0"/>
    <cellStyle name="Normal 2" xfId="26"/>
    <cellStyle name="Normal 3" xfId="27"/>
    <cellStyle name="Normal 4" xfId="28"/>
    <cellStyle name="Normal 5" xfId="29"/>
    <cellStyle name="Normal_Hoja1 2" xfId="30"/>
    <cellStyle name="Note" xfId="31"/>
    <cellStyle name="Porcentaje" xfId="32" builtinId="5"/>
    <cellStyle name="Porcentaje 2" xfId="33"/>
    <cellStyle name="Status" xfId="34"/>
    <cellStyle name="Text" xfId="35"/>
    <cellStyle name="Warning" xfId="36"/>
  </cellStyles>
  <dxfs count="3"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293369</xdr:colOff>
      <xdr:row>3</xdr:row>
      <xdr:rowOff>126682</xdr:rowOff>
    </xdr:from>
    <xdr:to>
      <xdr:col>8</xdr:col>
      <xdr:colOff>291498</xdr:colOff>
      <xdr:row>5</xdr:row>
      <xdr:rowOff>79057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D7422E7-2634-0CC4-78A6-FA319464FAE5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19050</xdr:colOff>
      <xdr:row>7</xdr:row>
      <xdr:rowOff>9525</xdr:rowOff>
    </xdr:from>
    <xdr:to>
      <xdr:col>7</xdr:col>
      <xdr:colOff>542925</xdr:colOff>
      <xdr:row>54</xdr:row>
      <xdr:rowOff>133350</xdr:rowOff>
    </xdr:to>
    <xdr:pic>
      <xdr:nvPicPr>
        <xdr:cNvPr id="12310" name="Imagen 2">
          <a:extLst>
            <a:ext uri="{FF2B5EF4-FFF2-40B4-BE49-F238E27FC236}">
              <a16:creationId xmlns:a16="http://schemas.microsoft.com/office/drawing/2014/main" id="{54864F62-383B-B781-B710-8A5BDCA37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49" t="18315" r="33846" b="7910"/>
        <a:stretch>
          <a:fillRect/>
        </a:stretch>
      </xdr:blipFill>
      <xdr:spPr bwMode="auto">
        <a:xfrm>
          <a:off x="19050" y="1143000"/>
          <a:ext cx="5857875" cy="773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571500</xdr:colOff>
      <xdr:row>7</xdr:row>
      <xdr:rowOff>9525</xdr:rowOff>
    </xdr:from>
    <xdr:to>
      <xdr:col>15</xdr:col>
      <xdr:colOff>361950</xdr:colOff>
      <xdr:row>54</xdr:row>
      <xdr:rowOff>133350</xdr:rowOff>
    </xdr:to>
    <xdr:pic>
      <xdr:nvPicPr>
        <xdr:cNvPr id="12311" name="Imagen 3">
          <a:extLst>
            <a:ext uri="{FF2B5EF4-FFF2-40B4-BE49-F238E27FC236}">
              <a16:creationId xmlns:a16="http://schemas.microsoft.com/office/drawing/2014/main" id="{29DB92E7-848C-21E5-4FE7-97073ED35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32" t="17389" r="33789" b="8836"/>
        <a:stretch>
          <a:fillRect/>
        </a:stretch>
      </xdr:blipFill>
      <xdr:spPr bwMode="auto">
        <a:xfrm>
          <a:off x="5905500" y="1143000"/>
          <a:ext cx="5886450" cy="773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400050</xdr:colOff>
      <xdr:row>7</xdr:row>
      <xdr:rowOff>0</xdr:rowOff>
    </xdr:from>
    <xdr:to>
      <xdr:col>23</xdr:col>
      <xdr:colOff>180975</xdr:colOff>
      <xdr:row>54</xdr:row>
      <xdr:rowOff>152400</xdr:rowOff>
    </xdr:to>
    <xdr:pic>
      <xdr:nvPicPr>
        <xdr:cNvPr id="12312" name="Imagen 4">
          <a:extLst>
            <a:ext uri="{FF2B5EF4-FFF2-40B4-BE49-F238E27FC236}">
              <a16:creationId xmlns:a16="http://schemas.microsoft.com/office/drawing/2014/main" id="{724920AC-C229-9FDF-DD8B-BC67AC9AB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0" t="18829" r="33788" b="7190"/>
        <a:stretch>
          <a:fillRect/>
        </a:stretch>
      </xdr:blipFill>
      <xdr:spPr bwMode="auto">
        <a:xfrm>
          <a:off x="11830050" y="1133475"/>
          <a:ext cx="587692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9525</xdr:rowOff>
    </xdr:from>
    <xdr:to>
      <xdr:col>7</xdr:col>
      <xdr:colOff>542925</xdr:colOff>
      <xdr:row>102</xdr:row>
      <xdr:rowOff>152400</xdr:rowOff>
    </xdr:to>
    <xdr:pic>
      <xdr:nvPicPr>
        <xdr:cNvPr id="12313" name="Imagen 5">
          <a:extLst>
            <a:ext uri="{FF2B5EF4-FFF2-40B4-BE49-F238E27FC236}">
              <a16:creationId xmlns:a16="http://schemas.microsoft.com/office/drawing/2014/main" id="{45363A84-37DE-A3A3-F31C-E07D3D63E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48" t="17491" r="33730" b="8630"/>
        <a:stretch>
          <a:fillRect/>
        </a:stretch>
      </xdr:blipFill>
      <xdr:spPr bwMode="auto">
        <a:xfrm>
          <a:off x="0" y="8915400"/>
          <a:ext cx="5876925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581025</xdr:colOff>
      <xdr:row>55</xdr:row>
      <xdr:rowOff>9525</xdr:rowOff>
    </xdr:from>
    <xdr:to>
      <xdr:col>15</xdr:col>
      <xdr:colOff>371475</xdr:colOff>
      <xdr:row>102</xdr:row>
      <xdr:rowOff>123825</xdr:rowOff>
    </xdr:to>
    <xdr:pic>
      <xdr:nvPicPr>
        <xdr:cNvPr id="12314" name="Imagen 6">
          <a:extLst>
            <a:ext uri="{FF2B5EF4-FFF2-40B4-BE49-F238E27FC236}">
              <a16:creationId xmlns:a16="http://schemas.microsoft.com/office/drawing/2014/main" id="{83531458-0595-3DA0-B6B0-F056ADF3D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0" t="17905" r="33730" b="8424"/>
        <a:stretch>
          <a:fillRect/>
        </a:stretch>
      </xdr:blipFill>
      <xdr:spPr bwMode="auto">
        <a:xfrm>
          <a:off x="5915025" y="8915400"/>
          <a:ext cx="5886450" cy="772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409575</xdr:colOff>
      <xdr:row>55</xdr:row>
      <xdr:rowOff>19050</xdr:rowOff>
    </xdr:from>
    <xdr:to>
      <xdr:col>23</xdr:col>
      <xdr:colOff>171450</xdr:colOff>
      <xdr:row>102</xdr:row>
      <xdr:rowOff>114300</xdr:rowOff>
    </xdr:to>
    <xdr:pic>
      <xdr:nvPicPr>
        <xdr:cNvPr id="12315" name="Imagen 7">
          <a:extLst>
            <a:ext uri="{FF2B5EF4-FFF2-40B4-BE49-F238E27FC236}">
              <a16:creationId xmlns:a16="http://schemas.microsoft.com/office/drawing/2014/main" id="{C826C9ED-21D3-EC20-7D06-CFC785DB7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48" t="18315" r="33846" b="8218"/>
        <a:stretch>
          <a:fillRect/>
        </a:stretch>
      </xdr:blipFill>
      <xdr:spPr bwMode="auto">
        <a:xfrm>
          <a:off x="11839575" y="8924925"/>
          <a:ext cx="5857875" cy="770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103</xdr:row>
      <xdr:rowOff>19050</xdr:rowOff>
    </xdr:from>
    <xdr:to>
      <xdr:col>7</xdr:col>
      <xdr:colOff>533400</xdr:colOff>
      <xdr:row>151</xdr:row>
      <xdr:rowOff>0</xdr:rowOff>
    </xdr:to>
    <xdr:pic>
      <xdr:nvPicPr>
        <xdr:cNvPr id="12316" name="Imagen 8">
          <a:extLst>
            <a:ext uri="{FF2B5EF4-FFF2-40B4-BE49-F238E27FC236}">
              <a16:creationId xmlns:a16="http://schemas.microsoft.com/office/drawing/2014/main" id="{697D44E7-6662-DAF5-07BF-D3D735BA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06" t="17081" r="33846" b="9042"/>
        <a:stretch>
          <a:fillRect/>
        </a:stretch>
      </xdr:blipFill>
      <xdr:spPr bwMode="auto">
        <a:xfrm>
          <a:off x="19050" y="16697325"/>
          <a:ext cx="5848350" cy="775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581025</xdr:colOff>
      <xdr:row>103</xdr:row>
      <xdr:rowOff>19050</xdr:rowOff>
    </xdr:from>
    <xdr:to>
      <xdr:col>15</xdr:col>
      <xdr:colOff>323850</xdr:colOff>
      <xdr:row>151</xdr:row>
      <xdr:rowOff>9525</xdr:rowOff>
    </xdr:to>
    <xdr:pic>
      <xdr:nvPicPr>
        <xdr:cNvPr id="12317" name="Imagen 9">
          <a:extLst>
            <a:ext uri="{FF2B5EF4-FFF2-40B4-BE49-F238E27FC236}">
              <a16:creationId xmlns:a16="http://schemas.microsoft.com/office/drawing/2014/main" id="{AD54D1F4-9404-A735-A732-819A9E531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06" t="18933" r="33846" b="7088"/>
        <a:stretch>
          <a:fillRect/>
        </a:stretch>
      </xdr:blipFill>
      <xdr:spPr bwMode="auto">
        <a:xfrm>
          <a:off x="5915025" y="16697325"/>
          <a:ext cx="5838825" cy="776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367189</xdr:colOff>
      <xdr:row>1</xdr:row>
      <xdr:rowOff>79057</xdr:rowOff>
    </xdr:from>
    <xdr:to>
      <xdr:col>0</xdr:col>
      <xdr:colOff>1121166</xdr:colOff>
      <xdr:row>5</xdr:row>
      <xdr:rowOff>226293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580EF8-0641-D9E5-3FA0-62F13AA28BAA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765679</xdr:colOff>
      <xdr:row>4</xdr:row>
      <xdr:rowOff>126755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42905-E4E6-5CC4-4BD0-A1AD745C77A7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801529</xdr:colOff>
      <xdr:row>1</xdr:row>
      <xdr:rowOff>31431</xdr:rowOff>
    </xdr:from>
    <xdr:to>
      <xdr:col>2</xdr:col>
      <xdr:colOff>119081</xdr:colOff>
      <xdr:row>4</xdr:row>
      <xdr:rowOff>142965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A7841D-FE2B-E219-90A7-ABE8451D10ED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152876</xdr:colOff>
      <xdr:row>1</xdr:row>
      <xdr:rowOff>35718</xdr:rowOff>
    </xdr:from>
    <xdr:to>
      <xdr:col>2</xdr:col>
      <xdr:colOff>1337814</xdr:colOff>
      <xdr:row>4</xdr:row>
      <xdr:rowOff>162473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03EA87-13AE-58B4-A9AD-7E87B1428032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57150</xdr:rowOff>
    </xdr:from>
    <xdr:to>
      <xdr:col>3</xdr:col>
      <xdr:colOff>684395</xdr:colOff>
      <xdr:row>5</xdr:row>
      <xdr:rowOff>83431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AF454C6-2C39-1404-E246-0DC690DBA584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752475</xdr:colOff>
      <xdr:row>3</xdr:row>
      <xdr:rowOff>180975</xdr:rowOff>
    </xdr:to>
    <xdr:sp macro="" textlink="">
      <xdr:nvSpPr>
        <xdr:cNvPr id="10383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7F52D8-28A3-6823-5832-449994DC2CF3}"/>
            </a:ext>
          </a:extLst>
        </xdr:cNvPr>
        <xdr:cNvSpPr>
          <a:spLocks noChangeArrowheads="1"/>
        </xdr:cNvSpPr>
      </xdr:nvSpPr>
      <xdr:spPr bwMode="auto">
        <a:xfrm rot="10800000">
          <a:off x="37052250" y="371475"/>
          <a:ext cx="419100" cy="295275"/>
        </a:xfrm>
        <a:prstGeom prst="rightArrow">
          <a:avLst>
            <a:gd name="adj1" fmla="val 50000"/>
            <a:gd name="adj2" fmla="val 50689"/>
          </a:avLst>
        </a:prstGeom>
        <a:solidFill>
          <a:srgbClr val="0000CC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419100</xdr:colOff>
      <xdr:row>4</xdr:row>
      <xdr:rowOff>57150</xdr:rowOff>
    </xdr:to>
    <xdr:sp macro="" textlink="">
      <xdr:nvSpPr>
        <xdr:cNvPr id="10384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87F179-C295-9112-BA81-8BF73021BE0A}"/>
            </a:ext>
          </a:extLst>
        </xdr:cNvPr>
        <xdr:cNvSpPr>
          <a:spLocks noChangeArrowheads="1"/>
        </xdr:cNvSpPr>
      </xdr:nvSpPr>
      <xdr:spPr bwMode="auto">
        <a:xfrm rot="10800000">
          <a:off x="29489400" y="485775"/>
          <a:ext cx="419100" cy="295275"/>
        </a:xfrm>
        <a:prstGeom prst="rightArrow">
          <a:avLst>
            <a:gd name="adj1" fmla="val 50000"/>
            <a:gd name="adj2" fmla="val 50689"/>
          </a:avLst>
        </a:prstGeom>
        <a:solidFill>
          <a:srgbClr val="0000CC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419100</xdr:colOff>
      <xdr:row>4</xdr:row>
      <xdr:rowOff>57150</xdr:rowOff>
    </xdr:to>
    <xdr:sp macro="" textlink="">
      <xdr:nvSpPr>
        <xdr:cNvPr id="10385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AB0249C-0DAE-243D-4D1A-D9D719D4C080}"/>
            </a:ext>
          </a:extLst>
        </xdr:cNvPr>
        <xdr:cNvSpPr>
          <a:spLocks noChangeArrowheads="1"/>
        </xdr:cNvSpPr>
      </xdr:nvSpPr>
      <xdr:spPr bwMode="auto">
        <a:xfrm rot="10800000">
          <a:off x="23088600" y="485775"/>
          <a:ext cx="419100" cy="295275"/>
        </a:xfrm>
        <a:prstGeom prst="rightArrow">
          <a:avLst>
            <a:gd name="adj1" fmla="val 50000"/>
            <a:gd name="adj2" fmla="val 50689"/>
          </a:avLst>
        </a:prstGeom>
        <a:solidFill>
          <a:srgbClr val="0000CC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371475</xdr:colOff>
      <xdr:row>3</xdr:row>
      <xdr:rowOff>28575</xdr:rowOff>
    </xdr:from>
    <xdr:to>
      <xdr:col>12</xdr:col>
      <xdr:colOff>781050</xdr:colOff>
      <xdr:row>4</xdr:row>
      <xdr:rowOff>85725</xdr:rowOff>
    </xdr:to>
    <xdr:sp macro="" textlink="">
      <xdr:nvSpPr>
        <xdr:cNvPr id="10386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E11FD99-C115-A5A5-B085-391F86EB62C2}"/>
            </a:ext>
          </a:extLst>
        </xdr:cNvPr>
        <xdr:cNvSpPr>
          <a:spLocks noChangeArrowheads="1"/>
        </xdr:cNvSpPr>
      </xdr:nvSpPr>
      <xdr:spPr bwMode="auto">
        <a:xfrm rot="10800000">
          <a:off x="15154275" y="514350"/>
          <a:ext cx="409575" cy="295275"/>
        </a:xfrm>
        <a:prstGeom prst="rightArrow">
          <a:avLst>
            <a:gd name="adj1" fmla="val 50000"/>
            <a:gd name="adj2" fmla="val 49537"/>
          </a:avLst>
        </a:prstGeom>
        <a:solidFill>
          <a:srgbClr val="0000CC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1331119</xdr:colOff>
      <xdr:row>1</xdr:row>
      <xdr:rowOff>0</xdr:rowOff>
    </xdr:from>
    <xdr:to>
      <xdr:col>7</xdr:col>
      <xdr:colOff>47553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9B2A43-B68E-1940-0EE7-799F842C6A2F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419100</xdr:colOff>
      <xdr:row>4</xdr:row>
      <xdr:rowOff>57150</xdr:rowOff>
    </xdr:to>
    <xdr:sp macro="" textlink="">
      <xdr:nvSpPr>
        <xdr:cNvPr id="10388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2880515-E6A9-F69C-5D52-B822A4B7E614}"/>
            </a:ext>
          </a:extLst>
        </xdr:cNvPr>
        <xdr:cNvSpPr>
          <a:spLocks noChangeArrowheads="1"/>
        </xdr:cNvSpPr>
      </xdr:nvSpPr>
      <xdr:spPr bwMode="auto">
        <a:xfrm rot="10800000">
          <a:off x="43195875" y="485775"/>
          <a:ext cx="419100" cy="295275"/>
        </a:xfrm>
        <a:prstGeom prst="rightArrow">
          <a:avLst>
            <a:gd name="adj1" fmla="val 50000"/>
            <a:gd name="adj2" fmla="val 50689"/>
          </a:avLst>
        </a:prstGeom>
        <a:solidFill>
          <a:srgbClr val="0000CC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RABAJO%20PLANES%20CR/Analisis%20varios%202022/Area%20Educacional/Tarifas%202022/PLANILLA%20TARIFA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 refreshError="1"/>
      <sheetData sheetId="1" refreshError="1"/>
      <sheetData sheetId="2" refreshError="1"/>
      <sheetData sheetId="3" refreshError="1">
        <row r="5">
          <cell r="F5" t="str">
            <v>(DEPTO./DELEG.)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J52"/>
  <sheetViews>
    <sheetView showGridLines="0" topLeftCell="R25" zoomScale="301" zoomScaleNormal="93" workbookViewId="0">
      <selection activeCell="P6" sqref="P6"/>
    </sheetView>
  </sheetViews>
  <sheetFormatPr baseColWidth="10" defaultRowHeight="12.75" x14ac:dyDescent="0.2"/>
  <cols>
    <col min="1" max="16384" width="11.42578125" style="641"/>
  </cols>
  <sheetData>
    <row r="1" spans="3:10" x14ac:dyDescent="0.2">
      <c r="J1" s="642"/>
    </row>
    <row r="2" spans="3:10" x14ac:dyDescent="0.2">
      <c r="J2" s="642" t="s">
        <v>83</v>
      </c>
    </row>
    <row r="3" spans="3:10" x14ac:dyDescent="0.2">
      <c r="J3" s="642"/>
    </row>
    <row r="5" spans="3:10" x14ac:dyDescent="0.2">
      <c r="C5" s="643"/>
      <c r="D5" s="643"/>
      <c r="E5" s="643"/>
      <c r="F5" s="643"/>
      <c r="G5" s="643"/>
      <c r="H5" s="643"/>
      <c r="I5" s="643"/>
      <c r="J5" s="643"/>
    </row>
    <row r="6" spans="3:10" x14ac:dyDescent="0.2">
      <c r="C6" s="643"/>
      <c r="D6" s="643"/>
      <c r="E6" s="643"/>
      <c r="F6" s="643"/>
      <c r="G6" s="643"/>
      <c r="H6" s="643"/>
      <c r="I6" s="643"/>
      <c r="J6" s="643"/>
    </row>
    <row r="7" spans="3:10" x14ac:dyDescent="0.2">
      <c r="C7" s="643"/>
      <c r="D7" s="643"/>
      <c r="E7" s="643"/>
      <c r="F7" s="643"/>
      <c r="G7" s="643"/>
      <c r="H7" s="643"/>
      <c r="I7" s="643"/>
      <c r="J7" s="643"/>
    </row>
    <row r="8" spans="3:10" x14ac:dyDescent="0.2">
      <c r="C8" s="643"/>
      <c r="D8" s="643"/>
      <c r="E8" s="643"/>
      <c r="F8" s="643"/>
      <c r="G8" s="643"/>
      <c r="H8" s="643"/>
      <c r="I8" s="643"/>
      <c r="J8" s="643"/>
    </row>
    <row r="9" spans="3:10" x14ac:dyDescent="0.2">
      <c r="C9" s="643"/>
      <c r="D9" s="643"/>
      <c r="E9" s="643"/>
      <c r="F9" s="643"/>
      <c r="G9" s="643"/>
      <c r="H9" s="643"/>
      <c r="I9" s="643"/>
      <c r="J9" s="643"/>
    </row>
    <row r="10" spans="3:10" x14ac:dyDescent="0.2">
      <c r="C10" s="643"/>
      <c r="D10" s="643"/>
      <c r="E10" s="643"/>
      <c r="F10" s="643"/>
      <c r="G10" s="643"/>
      <c r="H10" s="643"/>
      <c r="I10" s="643"/>
      <c r="J10" s="643"/>
    </row>
    <row r="11" spans="3:10" x14ac:dyDescent="0.2">
      <c r="C11" s="643"/>
      <c r="D11" s="643"/>
      <c r="E11" s="643"/>
      <c r="F11" s="643"/>
      <c r="G11" s="643"/>
      <c r="H11" s="643"/>
      <c r="I11" s="643"/>
      <c r="J11" s="643"/>
    </row>
    <row r="12" spans="3:10" x14ac:dyDescent="0.2">
      <c r="C12" s="643"/>
      <c r="D12" s="643"/>
      <c r="E12" s="643"/>
      <c r="F12" s="643"/>
      <c r="G12" s="643"/>
      <c r="H12" s="643"/>
      <c r="I12" s="643"/>
      <c r="J12" s="643"/>
    </row>
    <row r="13" spans="3:10" x14ac:dyDescent="0.2">
      <c r="C13" s="643"/>
      <c r="D13" s="643"/>
      <c r="E13" s="643"/>
      <c r="F13" s="643"/>
      <c r="G13" s="643"/>
      <c r="H13" s="643"/>
      <c r="I13" s="643"/>
      <c r="J13" s="643"/>
    </row>
    <row r="14" spans="3:10" x14ac:dyDescent="0.2">
      <c r="C14" s="643"/>
      <c r="D14" s="643"/>
      <c r="E14" s="643"/>
      <c r="F14" s="643"/>
      <c r="G14" s="643"/>
      <c r="H14" s="643"/>
      <c r="I14" s="643"/>
      <c r="J14" s="643"/>
    </row>
    <row r="15" spans="3:10" x14ac:dyDescent="0.2">
      <c r="C15" s="643"/>
      <c r="D15" s="643"/>
      <c r="E15" s="643"/>
      <c r="F15" s="643"/>
      <c r="G15" s="643"/>
      <c r="H15" s="643"/>
      <c r="I15" s="643"/>
      <c r="J15" s="643"/>
    </row>
    <row r="16" spans="3:10" x14ac:dyDescent="0.2">
      <c r="C16" s="643"/>
      <c r="D16" s="643"/>
      <c r="E16" s="643"/>
      <c r="F16" s="643"/>
      <c r="G16" s="643"/>
      <c r="H16" s="643"/>
      <c r="I16" s="643"/>
      <c r="J16" s="643"/>
    </row>
    <row r="17" spans="3:10" x14ac:dyDescent="0.2">
      <c r="C17" s="643"/>
      <c r="D17" s="643"/>
      <c r="E17" s="643"/>
      <c r="F17" s="643"/>
      <c r="G17" s="643"/>
      <c r="H17" s="643"/>
      <c r="I17" s="643"/>
      <c r="J17" s="643"/>
    </row>
    <row r="18" spans="3:10" x14ac:dyDescent="0.2">
      <c r="C18" s="643"/>
      <c r="D18" s="643"/>
      <c r="E18" s="643"/>
      <c r="F18" s="643"/>
      <c r="G18" s="643"/>
      <c r="H18" s="643"/>
      <c r="I18" s="643"/>
      <c r="J18" s="643"/>
    </row>
    <row r="19" spans="3:10" x14ac:dyDescent="0.2">
      <c r="C19" s="643"/>
      <c r="D19" s="643"/>
      <c r="E19" s="643"/>
      <c r="F19" s="643"/>
      <c r="G19" s="643"/>
      <c r="H19" s="643"/>
      <c r="I19" s="643"/>
      <c r="J19" s="643"/>
    </row>
    <row r="20" spans="3:10" x14ac:dyDescent="0.2">
      <c r="C20" s="643"/>
      <c r="D20" s="643"/>
      <c r="E20" s="643"/>
      <c r="F20" s="643"/>
      <c r="G20" s="643"/>
      <c r="H20" s="643"/>
      <c r="I20" s="643"/>
      <c r="J20" s="643"/>
    </row>
    <row r="21" spans="3:10" x14ac:dyDescent="0.2">
      <c r="C21" s="643"/>
      <c r="D21" s="643"/>
      <c r="E21" s="643"/>
      <c r="F21" s="643"/>
      <c r="G21" s="643"/>
      <c r="H21" s="643"/>
      <c r="I21" s="643"/>
      <c r="J21" s="643"/>
    </row>
    <row r="22" spans="3:10" x14ac:dyDescent="0.2">
      <c r="C22" s="643"/>
      <c r="D22" s="643"/>
      <c r="E22" s="643"/>
      <c r="F22" s="643"/>
      <c r="G22" s="643"/>
      <c r="H22" s="643"/>
      <c r="I22" s="643"/>
      <c r="J22" s="643"/>
    </row>
    <row r="23" spans="3:10" x14ac:dyDescent="0.2">
      <c r="C23" s="643"/>
      <c r="D23" s="643"/>
      <c r="E23" s="643"/>
      <c r="F23" s="643"/>
      <c r="G23" s="643"/>
      <c r="H23" s="643"/>
      <c r="I23" s="643"/>
      <c r="J23" s="643"/>
    </row>
    <row r="24" spans="3:10" x14ac:dyDescent="0.2">
      <c r="C24" s="643"/>
      <c r="D24" s="643"/>
      <c r="E24" s="643"/>
      <c r="F24" s="643"/>
      <c r="G24" s="643"/>
      <c r="H24" s="643"/>
      <c r="I24" s="643"/>
      <c r="J24" s="643"/>
    </row>
    <row r="25" spans="3:10" x14ac:dyDescent="0.2">
      <c r="C25" s="643"/>
      <c r="D25" s="643"/>
      <c r="E25" s="643"/>
      <c r="F25" s="643"/>
      <c r="G25" s="643"/>
      <c r="H25" s="643"/>
      <c r="I25" s="643"/>
      <c r="J25" s="643"/>
    </row>
    <row r="26" spans="3:10" x14ac:dyDescent="0.2">
      <c r="C26" s="643"/>
      <c r="D26" s="643"/>
      <c r="E26" s="643"/>
      <c r="F26" s="643"/>
      <c r="G26" s="643"/>
      <c r="H26" s="643"/>
      <c r="I26" s="643"/>
      <c r="J26" s="643"/>
    </row>
    <row r="27" spans="3:10" x14ac:dyDescent="0.2">
      <c r="C27" s="643"/>
      <c r="D27" s="643"/>
      <c r="E27" s="643"/>
      <c r="F27" s="643"/>
      <c r="G27" s="643"/>
      <c r="H27" s="643"/>
      <c r="I27" s="643"/>
      <c r="J27" s="643"/>
    </row>
    <row r="28" spans="3:10" x14ac:dyDescent="0.2">
      <c r="C28" s="643"/>
      <c r="D28" s="643"/>
      <c r="E28" s="643"/>
      <c r="F28" s="643"/>
      <c r="G28" s="643"/>
      <c r="H28" s="643"/>
      <c r="I28" s="643"/>
      <c r="J28" s="643"/>
    </row>
    <row r="29" spans="3:10" x14ac:dyDescent="0.2">
      <c r="C29" s="643"/>
      <c r="D29" s="643"/>
      <c r="E29" s="643"/>
      <c r="F29" s="643"/>
      <c r="G29" s="643"/>
      <c r="H29" s="643"/>
      <c r="I29" s="643"/>
      <c r="J29" s="643"/>
    </row>
    <row r="30" spans="3:10" x14ac:dyDescent="0.2">
      <c r="C30" s="643"/>
      <c r="D30" s="643"/>
      <c r="E30" s="643"/>
      <c r="F30" s="643"/>
      <c r="G30" s="643"/>
      <c r="H30" s="643"/>
      <c r="I30" s="643"/>
      <c r="J30" s="643"/>
    </row>
    <row r="31" spans="3:10" x14ac:dyDescent="0.2">
      <c r="C31" s="643"/>
      <c r="D31" s="643"/>
      <c r="E31" s="643"/>
      <c r="F31" s="643"/>
      <c r="G31" s="643"/>
      <c r="H31" s="643"/>
      <c r="I31" s="643"/>
      <c r="J31" s="643"/>
    </row>
    <row r="32" spans="3:10" x14ac:dyDescent="0.2">
      <c r="C32" s="643"/>
      <c r="D32" s="643"/>
      <c r="E32" s="643"/>
      <c r="F32" s="643"/>
      <c r="G32" s="643"/>
      <c r="H32" s="643"/>
      <c r="I32" s="643"/>
      <c r="J32" s="643"/>
    </row>
    <row r="33" spans="3:10" x14ac:dyDescent="0.2">
      <c r="C33" s="643"/>
      <c r="D33" s="643"/>
      <c r="E33" s="643"/>
      <c r="F33" s="643"/>
      <c r="G33" s="643"/>
      <c r="H33" s="643"/>
      <c r="I33" s="643"/>
      <c r="J33" s="643"/>
    </row>
    <row r="34" spans="3:10" x14ac:dyDescent="0.2">
      <c r="C34" s="643"/>
      <c r="D34" s="643"/>
      <c r="E34" s="643"/>
      <c r="F34" s="643"/>
      <c r="G34" s="643"/>
      <c r="H34" s="643"/>
      <c r="I34" s="643"/>
      <c r="J34" s="643"/>
    </row>
    <row r="35" spans="3:10" x14ac:dyDescent="0.2">
      <c r="C35" s="643"/>
      <c r="D35" s="643"/>
      <c r="E35" s="643"/>
      <c r="F35" s="643"/>
      <c r="G35" s="643"/>
      <c r="H35" s="643"/>
      <c r="I35" s="643"/>
      <c r="J35" s="643"/>
    </row>
    <row r="36" spans="3:10" x14ac:dyDescent="0.2">
      <c r="C36" s="643"/>
      <c r="D36" s="643"/>
      <c r="E36" s="643"/>
      <c r="F36" s="643"/>
      <c r="G36" s="643"/>
      <c r="H36" s="643"/>
      <c r="I36" s="643"/>
      <c r="J36" s="643"/>
    </row>
    <row r="37" spans="3:10" x14ac:dyDescent="0.2">
      <c r="C37" s="643"/>
      <c r="D37" s="643"/>
      <c r="E37" s="643"/>
      <c r="F37" s="643"/>
      <c r="G37" s="643"/>
      <c r="H37" s="643"/>
      <c r="I37" s="643"/>
      <c r="J37" s="643"/>
    </row>
    <row r="38" spans="3:10" x14ac:dyDescent="0.2">
      <c r="C38" s="643"/>
      <c r="D38" s="643"/>
      <c r="E38" s="643"/>
      <c r="F38" s="643"/>
      <c r="G38" s="643"/>
      <c r="H38" s="643"/>
      <c r="I38" s="643"/>
      <c r="J38" s="643"/>
    </row>
    <row r="39" spans="3:10" x14ac:dyDescent="0.2">
      <c r="C39" s="643"/>
      <c r="D39" s="643"/>
      <c r="E39" s="643"/>
      <c r="F39" s="643"/>
      <c r="G39" s="643"/>
      <c r="H39" s="643"/>
      <c r="I39" s="643"/>
      <c r="J39" s="643"/>
    </row>
    <row r="40" spans="3:10" x14ac:dyDescent="0.2">
      <c r="C40" s="643"/>
      <c r="D40" s="643"/>
      <c r="E40" s="643"/>
      <c r="F40" s="643"/>
      <c r="G40" s="643"/>
      <c r="H40" s="643"/>
      <c r="I40" s="643"/>
      <c r="J40" s="643"/>
    </row>
    <row r="41" spans="3:10" x14ac:dyDescent="0.2">
      <c r="C41" s="643"/>
      <c r="D41" s="643"/>
      <c r="E41" s="643"/>
      <c r="F41" s="643"/>
      <c r="G41" s="643"/>
      <c r="H41" s="643"/>
      <c r="I41" s="643"/>
      <c r="J41" s="643"/>
    </row>
    <row r="42" spans="3:10" x14ac:dyDescent="0.2">
      <c r="C42" s="643"/>
      <c r="D42" s="643"/>
      <c r="E42" s="643"/>
      <c r="F42" s="643"/>
      <c r="G42" s="643"/>
      <c r="H42" s="643"/>
      <c r="I42" s="643"/>
      <c r="J42" s="643"/>
    </row>
    <row r="43" spans="3:10" x14ac:dyDescent="0.2">
      <c r="C43" s="643"/>
      <c r="D43" s="643"/>
      <c r="E43" s="643"/>
      <c r="F43" s="643"/>
      <c r="G43" s="643"/>
      <c r="H43" s="643"/>
      <c r="I43" s="643"/>
      <c r="J43" s="643"/>
    </row>
    <row r="44" spans="3:10" x14ac:dyDescent="0.2">
      <c r="C44" s="643"/>
      <c r="D44" s="643"/>
      <c r="E44" s="643"/>
      <c r="F44" s="643"/>
      <c r="G44" s="643"/>
      <c r="H44" s="643"/>
      <c r="I44" s="643"/>
      <c r="J44" s="643"/>
    </row>
    <row r="45" spans="3:10" x14ac:dyDescent="0.2">
      <c r="C45" s="643"/>
      <c r="D45" s="643"/>
      <c r="E45" s="643"/>
      <c r="F45" s="643"/>
      <c r="G45" s="643"/>
      <c r="H45" s="643"/>
      <c r="I45" s="643"/>
      <c r="J45" s="643"/>
    </row>
    <row r="46" spans="3:10" x14ac:dyDescent="0.2">
      <c r="C46" s="643"/>
      <c r="D46" s="643"/>
      <c r="E46" s="643"/>
      <c r="F46" s="643"/>
      <c r="G46" s="643"/>
      <c r="H46" s="643"/>
      <c r="I46" s="643"/>
      <c r="J46" s="643"/>
    </row>
    <row r="47" spans="3:10" x14ac:dyDescent="0.2">
      <c r="C47" s="643"/>
      <c r="D47" s="643"/>
      <c r="E47" s="643"/>
      <c r="F47" s="643"/>
      <c r="G47" s="643"/>
      <c r="H47" s="643"/>
      <c r="I47" s="643"/>
      <c r="J47" s="643"/>
    </row>
    <row r="48" spans="3:10" x14ac:dyDescent="0.2">
      <c r="C48" s="643"/>
      <c r="D48" s="643"/>
      <c r="E48" s="643"/>
      <c r="F48" s="643"/>
      <c r="G48" s="643"/>
      <c r="H48" s="643"/>
      <c r="I48" s="643"/>
      <c r="J48" s="643"/>
    </row>
    <row r="49" spans="3:10" x14ac:dyDescent="0.2">
      <c r="C49" s="643"/>
      <c r="D49" s="643"/>
      <c r="E49" s="643"/>
      <c r="F49" s="643"/>
      <c r="G49" s="643"/>
      <c r="H49" s="643"/>
      <c r="I49" s="643"/>
      <c r="J49" s="643"/>
    </row>
    <row r="50" spans="3:10" x14ac:dyDescent="0.2">
      <c r="C50" s="643"/>
      <c r="D50" s="643"/>
      <c r="E50" s="643"/>
      <c r="F50" s="643"/>
      <c r="G50" s="643"/>
      <c r="H50" s="643"/>
      <c r="I50" s="643"/>
      <c r="J50" s="643"/>
    </row>
    <row r="51" spans="3:10" x14ac:dyDescent="0.2">
      <c r="C51" s="643"/>
      <c r="D51" s="643"/>
      <c r="E51" s="643"/>
      <c r="F51" s="643"/>
      <c r="G51" s="643"/>
      <c r="H51" s="643"/>
      <c r="I51" s="643"/>
      <c r="J51" s="643"/>
    </row>
    <row r="52" spans="3:10" x14ac:dyDescent="0.2">
      <c r="C52" s="643"/>
      <c r="D52" s="643"/>
      <c r="E52" s="643"/>
      <c r="F52" s="643"/>
      <c r="G52" s="643"/>
      <c r="H52" s="643"/>
      <c r="I52" s="643"/>
      <c r="J52" s="643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2" tint="-0.499984740745262"/>
  </sheetPr>
  <dimension ref="A1:P87"/>
  <sheetViews>
    <sheetView showGridLines="0" topLeftCell="A7" zoomScale="80" zoomScaleNormal="80" workbookViewId="0">
      <selection activeCell="Q67" sqref="Q67"/>
    </sheetView>
  </sheetViews>
  <sheetFormatPr baseColWidth="10" defaultRowHeight="12.75" x14ac:dyDescent="0.2"/>
  <cols>
    <col min="1" max="1" width="26" style="79" customWidth="1"/>
    <col min="2" max="2" width="20.140625" style="79" customWidth="1"/>
    <col min="3" max="3" width="22.7109375" style="79" customWidth="1"/>
    <col min="4" max="4" width="12.7109375" style="79" customWidth="1"/>
    <col min="5" max="5" width="13" style="79" bestFit="1" customWidth="1"/>
    <col min="6" max="6" width="16.140625" style="79" customWidth="1"/>
    <col min="7" max="7" width="16.7109375" style="79" customWidth="1"/>
    <col min="8" max="8" width="22.140625" style="79" customWidth="1"/>
    <col min="9" max="9" width="11.42578125" style="79"/>
    <col min="10" max="11" width="13.28515625" style="79" customWidth="1"/>
    <col min="12" max="16384" width="11.42578125" style="79"/>
  </cols>
  <sheetData>
    <row r="1" spans="1:16" x14ac:dyDescent="0.2">
      <c r="J1" s="196"/>
      <c r="K1" s="199"/>
    </row>
    <row r="2" spans="1:16" x14ac:dyDescent="0.2">
      <c r="J2" s="196" t="s">
        <v>201</v>
      </c>
      <c r="K2" s="199"/>
    </row>
    <row r="4" spans="1:16" ht="19.5" customHeight="1" x14ac:dyDescent="0.2">
      <c r="I4" s="197" t="s">
        <v>0</v>
      </c>
      <c r="J4" s="990" t="str">
        <f>+'[1]B) Reajuste Tarifas y Ocupación'!F5</f>
        <v>(DEPTO./DELEG.)</v>
      </c>
      <c r="K4" s="991"/>
    </row>
    <row r="6" spans="1:16" ht="12.75" customHeight="1" x14ac:dyDescent="0.2">
      <c r="A6" s="198" t="s">
        <v>122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x14ac:dyDescent="0.2">
      <c r="A8" s="735" t="s">
        <v>346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1:16" ht="13.5" thickBot="1" x14ac:dyDescent="0.25">
      <c r="A9" s="736"/>
      <c r="B9" s="735"/>
      <c r="C9" s="735"/>
      <c r="D9" s="736"/>
      <c r="E9" s="736"/>
      <c r="F9" s="736"/>
      <c r="G9" s="736"/>
      <c r="H9" s="736"/>
      <c r="I9" s="736"/>
    </row>
    <row r="10" spans="1:16" ht="13.5" thickBot="1" x14ac:dyDescent="0.25">
      <c r="A10" s="737" t="s">
        <v>347</v>
      </c>
      <c r="B10" s="738" t="s">
        <v>81</v>
      </c>
      <c r="C10" s="739" t="s">
        <v>348</v>
      </c>
      <c r="D10" s="739" t="s">
        <v>349</v>
      </c>
      <c r="E10" s="740" t="s">
        <v>350</v>
      </c>
      <c r="F10" s="740" t="s">
        <v>351</v>
      </c>
      <c r="G10" s="740" t="s">
        <v>352</v>
      </c>
      <c r="H10" s="741" t="s">
        <v>353</v>
      </c>
      <c r="I10" s="740" t="s">
        <v>354</v>
      </c>
      <c r="J10" s="742" t="s">
        <v>355</v>
      </c>
      <c r="K10" s="743" t="s">
        <v>356</v>
      </c>
      <c r="L10" s="744" t="s">
        <v>106</v>
      </c>
      <c r="M10" s="745" t="s">
        <v>357</v>
      </c>
    </row>
    <row r="11" spans="1:16" x14ac:dyDescent="0.2">
      <c r="A11" s="746">
        <v>1</v>
      </c>
      <c r="B11" s="747" t="s">
        <v>358</v>
      </c>
      <c r="C11" s="748">
        <f>2429*1.045</f>
        <v>2538.3049999999998</v>
      </c>
      <c r="D11" s="749" t="s">
        <v>359</v>
      </c>
      <c r="E11" s="750">
        <f>+C11*D11</f>
        <v>50766.1</v>
      </c>
      <c r="F11" s="750"/>
      <c r="G11" s="750">
        <f>+E11-F11</f>
        <v>50766.1</v>
      </c>
      <c r="H11" s="751">
        <v>12</v>
      </c>
      <c r="I11" s="750">
        <f>+G11*H11</f>
        <v>609193.19999999995</v>
      </c>
      <c r="J11" s="752">
        <f>+I11*11</f>
        <v>6701125.1999999993</v>
      </c>
      <c r="K11" s="753"/>
      <c r="L11" s="754">
        <f>+J11+K11</f>
        <v>6701125.1999999993</v>
      </c>
      <c r="M11" s="755">
        <f>+D11*H11*11</f>
        <v>2640</v>
      </c>
    </row>
    <row r="12" spans="1:16" x14ac:dyDescent="0.2">
      <c r="A12" s="746">
        <v>2</v>
      </c>
      <c r="B12" s="747" t="s">
        <v>360</v>
      </c>
      <c r="C12" s="753">
        <v>2538</v>
      </c>
      <c r="D12" s="749" t="s">
        <v>361</v>
      </c>
      <c r="E12" s="750">
        <f>+C12*D12</f>
        <v>38070</v>
      </c>
      <c r="F12" s="750"/>
      <c r="G12" s="750">
        <f>+E12-F12</f>
        <v>38070</v>
      </c>
      <c r="H12" s="751">
        <v>4</v>
      </c>
      <c r="I12" s="750">
        <f>+G12*H12</f>
        <v>152280</v>
      </c>
      <c r="J12" s="752">
        <f>+I12*11</f>
        <v>1675080</v>
      </c>
      <c r="K12" s="753"/>
      <c r="L12" s="754">
        <f>+J12+K12</f>
        <v>1675080</v>
      </c>
      <c r="M12" s="756">
        <f>+D12*H12*11</f>
        <v>660</v>
      </c>
    </row>
    <row r="13" spans="1:16" ht="13.5" thickBot="1" x14ac:dyDescent="0.25">
      <c r="A13" s="757">
        <v>3</v>
      </c>
      <c r="B13" s="758" t="s">
        <v>362</v>
      </c>
      <c r="C13" s="759">
        <v>2538</v>
      </c>
      <c r="D13" s="760" t="s">
        <v>359</v>
      </c>
      <c r="E13" s="761">
        <f>+C13*D13</f>
        <v>50760</v>
      </c>
      <c r="F13" s="761"/>
      <c r="G13" s="761">
        <f>+E13-F13</f>
        <v>50760</v>
      </c>
      <c r="H13" s="762">
        <v>3</v>
      </c>
      <c r="I13" s="761">
        <f>+G13*H13</f>
        <v>152280</v>
      </c>
      <c r="J13" s="763">
        <f>+I13*11</f>
        <v>1675080</v>
      </c>
      <c r="K13" s="764"/>
      <c r="L13" s="765">
        <f>+J13+K13</f>
        <v>1675080</v>
      </c>
      <c r="M13" s="766">
        <f>+D13*H13*11</f>
        <v>660</v>
      </c>
    </row>
    <row r="14" spans="1:16" x14ac:dyDescent="0.2">
      <c r="J14" s="767" t="s">
        <v>363</v>
      </c>
    </row>
    <row r="15" spans="1:16" x14ac:dyDescent="0.2">
      <c r="A15" s="768" t="s">
        <v>364</v>
      </c>
    </row>
    <row r="17" spans="1:8" x14ac:dyDescent="0.2">
      <c r="A17" s="769" t="s">
        <v>365</v>
      </c>
      <c r="B17" s="770">
        <v>2025</v>
      </c>
      <c r="C17" s="771" t="s">
        <v>366</v>
      </c>
      <c r="D17" s="771" t="s">
        <v>367</v>
      </c>
      <c r="E17" s="771"/>
      <c r="G17" s="770">
        <v>2026</v>
      </c>
      <c r="H17" s="771" t="s">
        <v>368</v>
      </c>
    </row>
    <row r="18" spans="1:8" x14ac:dyDescent="0.2">
      <c r="A18" s="769" t="s">
        <v>369</v>
      </c>
      <c r="B18" s="772" t="s">
        <v>370</v>
      </c>
      <c r="C18" s="771" t="s">
        <v>404</v>
      </c>
      <c r="D18" s="771" t="s">
        <v>410</v>
      </c>
      <c r="E18" s="771"/>
      <c r="G18" s="772" t="s">
        <v>370</v>
      </c>
      <c r="H18" s="771" t="s">
        <v>407</v>
      </c>
    </row>
    <row r="19" spans="1:8" x14ac:dyDescent="0.2">
      <c r="A19" s="769" t="s">
        <v>403</v>
      </c>
      <c r="B19" s="773">
        <v>10041974</v>
      </c>
      <c r="C19" s="771"/>
      <c r="D19" s="771"/>
      <c r="E19" s="771"/>
      <c r="G19" s="774">
        <f>+G20*G21</f>
        <v>4804117.1395302555</v>
      </c>
      <c r="H19" s="771"/>
    </row>
    <row r="20" spans="1:8" x14ac:dyDescent="0.2">
      <c r="A20" s="769" t="s">
        <v>406</v>
      </c>
      <c r="B20" s="775">
        <f>+(B19/8)*4</f>
        <v>5020987</v>
      </c>
      <c r="C20" s="771"/>
      <c r="D20" s="771"/>
      <c r="E20" s="771"/>
      <c r="G20" s="776">
        <f>+H20+I20</f>
        <v>17250</v>
      </c>
      <c r="H20" s="777">
        <f>25*3*23*10</f>
        <v>17250</v>
      </c>
    </row>
    <row r="21" spans="1:8" x14ac:dyDescent="0.2">
      <c r="A21" s="778" t="s">
        <v>405</v>
      </c>
      <c r="B21" s="779">
        <f>(B19+B20)</f>
        <v>15062961</v>
      </c>
      <c r="C21" s="771"/>
      <c r="D21" s="771"/>
      <c r="E21" s="771"/>
      <c r="G21" s="780">
        <f>+B23*1.045</f>
        <v>278.49954432059451</v>
      </c>
      <c r="H21" s="773"/>
    </row>
    <row r="22" spans="1:8" x14ac:dyDescent="0.2">
      <c r="A22" s="769" t="s">
        <v>371</v>
      </c>
      <c r="B22" s="776">
        <f>+C22+D22</f>
        <v>56520</v>
      </c>
      <c r="C22" s="777">
        <f>43*3*30*12</f>
        <v>46440</v>
      </c>
      <c r="D22" s="776">
        <f>28*2*15*12</f>
        <v>10080</v>
      </c>
      <c r="E22" s="771"/>
    </row>
    <row r="23" spans="1:8" x14ac:dyDescent="0.2">
      <c r="A23" s="781" t="s">
        <v>372</v>
      </c>
      <c r="B23" s="782">
        <f>+B21/B22</f>
        <v>266.50674097664546</v>
      </c>
      <c r="C23" s="773"/>
      <c r="D23" s="771"/>
      <c r="E23" s="771"/>
    </row>
    <row r="24" spans="1:8" x14ac:dyDescent="0.2">
      <c r="B24" s="783"/>
      <c r="C24" s="784"/>
      <c r="D24" s="785"/>
      <c r="E24" s="785"/>
    </row>
    <row r="25" spans="1:8" x14ac:dyDescent="0.2">
      <c r="B25" s="770">
        <v>2026</v>
      </c>
      <c r="C25" s="771" t="s">
        <v>366</v>
      </c>
      <c r="D25" s="771" t="s">
        <v>373</v>
      </c>
      <c r="E25" s="771"/>
    </row>
    <row r="26" spans="1:8" x14ac:dyDescent="0.2">
      <c r="B26" s="772" t="s">
        <v>370</v>
      </c>
      <c r="C26" s="771" t="s">
        <v>408</v>
      </c>
      <c r="D26" s="771" t="s">
        <v>409</v>
      </c>
      <c r="E26" s="771"/>
    </row>
    <row r="27" spans="1:8" x14ac:dyDescent="0.2">
      <c r="B27" s="774">
        <f>+B28*B29</f>
        <v>15440014.73713376</v>
      </c>
      <c r="C27" s="771"/>
      <c r="D27" s="771"/>
      <c r="E27" s="771"/>
    </row>
    <row r="28" spans="1:8" x14ac:dyDescent="0.2">
      <c r="B28" s="776">
        <f>+C28+D28</f>
        <v>55440</v>
      </c>
      <c r="C28" s="777">
        <f>42*3*30*12</f>
        <v>45360</v>
      </c>
      <c r="D28" s="776">
        <f>28*2*15*12</f>
        <v>10080</v>
      </c>
      <c r="E28" s="771"/>
    </row>
    <row r="29" spans="1:8" x14ac:dyDescent="0.2">
      <c r="B29" s="786">
        <f>+B23*1.045</f>
        <v>278.49954432059451</v>
      </c>
      <c r="C29" s="773"/>
      <c r="D29" s="771"/>
      <c r="E29" s="771"/>
    </row>
    <row r="32" spans="1:8" x14ac:dyDescent="0.2">
      <c r="A32" s="79" t="s">
        <v>374</v>
      </c>
    </row>
    <row r="34" spans="1:14" ht="15.75" x14ac:dyDescent="0.25">
      <c r="A34" s="787"/>
      <c r="B34" s="788" t="s">
        <v>24</v>
      </c>
      <c r="C34" s="788" t="s">
        <v>375</v>
      </c>
      <c r="D34" s="787"/>
      <c r="E34" s="787"/>
      <c r="F34" s="788" t="s">
        <v>26</v>
      </c>
      <c r="G34" s="788" t="s">
        <v>375</v>
      </c>
      <c r="H34" s="788"/>
      <c r="I34" s="787"/>
      <c r="J34" s="787"/>
      <c r="K34" s="787"/>
      <c r="L34" s="787"/>
      <c r="M34" s="787"/>
      <c r="N34" s="787"/>
    </row>
    <row r="35" spans="1:14" x14ac:dyDescent="0.2">
      <c r="A35" s="787"/>
      <c r="B35" s="789"/>
      <c r="C35" s="789"/>
      <c r="D35" s="789"/>
      <c r="E35" s="787"/>
      <c r="F35" s="787"/>
      <c r="G35" s="789"/>
      <c r="H35" s="789"/>
      <c r="I35" s="789"/>
      <c r="J35" s="789"/>
      <c r="K35" s="787"/>
      <c r="L35" s="787"/>
      <c r="M35" s="787"/>
      <c r="N35" s="787"/>
    </row>
    <row r="36" spans="1:14" x14ac:dyDescent="0.2">
      <c r="A36" s="790" t="s">
        <v>376</v>
      </c>
      <c r="B36" s="791"/>
      <c r="C36" s="792" t="s">
        <v>411</v>
      </c>
      <c r="D36" s="793"/>
      <c r="E36" s="787"/>
      <c r="F36" s="790" t="s">
        <v>376</v>
      </c>
      <c r="G36" s="791"/>
      <c r="H36" s="792" t="s">
        <v>411</v>
      </c>
      <c r="I36" s="793"/>
      <c r="J36" s="789"/>
      <c r="K36" s="787"/>
      <c r="L36" s="787"/>
      <c r="M36" s="787"/>
      <c r="N36" s="787"/>
    </row>
    <row r="37" spans="1:14" x14ac:dyDescent="0.2">
      <c r="A37" s="794" t="s">
        <v>377</v>
      </c>
      <c r="B37" s="795" t="s">
        <v>378</v>
      </c>
      <c r="C37" s="795" t="s">
        <v>379</v>
      </c>
      <c r="D37" s="795" t="s">
        <v>194</v>
      </c>
      <c r="E37" s="787"/>
      <c r="F37" s="794" t="s">
        <v>380</v>
      </c>
      <c r="G37" s="795" t="s">
        <v>381</v>
      </c>
      <c r="H37" s="795" t="s">
        <v>379</v>
      </c>
      <c r="I37" s="795" t="s">
        <v>194</v>
      </c>
      <c r="J37" s="789"/>
      <c r="K37" s="787"/>
      <c r="L37" s="787"/>
      <c r="M37" s="787"/>
      <c r="N37" s="787"/>
    </row>
    <row r="38" spans="1:14" x14ac:dyDescent="0.2">
      <c r="A38" s="796" t="s">
        <v>382</v>
      </c>
      <c r="B38" s="797">
        <v>864</v>
      </c>
      <c r="C38" s="798">
        <f>318*1.1</f>
        <v>349.8</v>
      </c>
      <c r="D38" s="797">
        <f>+B38*C38</f>
        <v>302227.20000000001</v>
      </c>
      <c r="E38" s="787"/>
      <c r="F38" s="799" t="s">
        <v>382</v>
      </c>
      <c r="G38" s="800">
        <v>54</v>
      </c>
      <c r="H38" s="801">
        <v>1031</v>
      </c>
      <c r="I38" s="802">
        <f>+G38*H38</f>
        <v>55674</v>
      </c>
      <c r="J38" s="789"/>
      <c r="K38" s="787"/>
      <c r="L38" s="787"/>
      <c r="M38" s="787"/>
      <c r="N38" s="787"/>
    </row>
    <row r="39" spans="1:14" x14ac:dyDescent="0.2">
      <c r="A39" s="796" t="s">
        <v>383</v>
      </c>
      <c r="B39" s="797">
        <v>1441</v>
      </c>
      <c r="C39" s="798">
        <f t="shared" ref="C39:C49" si="0">318*1.1</f>
        <v>349.8</v>
      </c>
      <c r="D39" s="797">
        <f t="shared" ref="D39:D49" si="1">+B39*C39</f>
        <v>504061.8</v>
      </c>
      <c r="E39" s="787"/>
      <c r="F39" s="799" t="s">
        <v>383</v>
      </c>
      <c r="G39" s="800">
        <v>75</v>
      </c>
      <c r="H39" s="801">
        <v>1031</v>
      </c>
      <c r="I39" s="802">
        <f t="shared" ref="I39:I49" si="2">+G39*H39</f>
        <v>77325</v>
      </c>
      <c r="J39" s="789"/>
      <c r="K39" s="787"/>
      <c r="L39" s="787"/>
      <c r="M39" s="787"/>
      <c r="N39" s="787"/>
    </row>
    <row r="40" spans="1:14" x14ac:dyDescent="0.2">
      <c r="A40" s="796" t="s">
        <v>384</v>
      </c>
      <c r="B40" s="797">
        <v>1482</v>
      </c>
      <c r="C40" s="798">
        <f t="shared" si="0"/>
        <v>349.8</v>
      </c>
      <c r="D40" s="797">
        <f t="shared" si="1"/>
        <v>518403.60000000003</v>
      </c>
      <c r="E40" s="787"/>
      <c r="F40" s="799" t="s">
        <v>384</v>
      </c>
      <c r="G40" s="800">
        <v>253</v>
      </c>
      <c r="H40" s="801">
        <v>1031</v>
      </c>
      <c r="I40" s="802">
        <f t="shared" si="2"/>
        <v>260843</v>
      </c>
      <c r="J40" s="789"/>
      <c r="K40" s="787"/>
      <c r="L40" s="787"/>
      <c r="M40" s="787"/>
      <c r="N40" s="787"/>
    </row>
    <row r="41" spans="1:14" x14ac:dyDescent="0.2">
      <c r="A41" s="796" t="s">
        <v>385</v>
      </c>
      <c r="B41" s="797">
        <v>1464</v>
      </c>
      <c r="C41" s="798">
        <f t="shared" si="0"/>
        <v>349.8</v>
      </c>
      <c r="D41" s="797">
        <f t="shared" si="1"/>
        <v>512107.2</v>
      </c>
      <c r="E41" s="787"/>
      <c r="F41" s="799" t="s">
        <v>385</v>
      </c>
      <c r="G41" s="800">
        <v>280</v>
      </c>
      <c r="H41" s="801">
        <v>1031</v>
      </c>
      <c r="I41" s="802">
        <f t="shared" si="2"/>
        <v>288680</v>
      </c>
      <c r="J41" s="789"/>
      <c r="K41" s="787"/>
      <c r="L41" s="787"/>
      <c r="M41" s="787"/>
      <c r="N41" s="787"/>
    </row>
    <row r="42" spans="1:14" x14ac:dyDescent="0.2">
      <c r="A42" s="796" t="s">
        <v>386</v>
      </c>
      <c r="B42" s="797">
        <v>1651</v>
      </c>
      <c r="C42" s="798">
        <f t="shared" si="0"/>
        <v>349.8</v>
      </c>
      <c r="D42" s="797">
        <f t="shared" si="1"/>
        <v>577519.80000000005</v>
      </c>
      <c r="E42" s="787"/>
      <c r="F42" s="799" t="s">
        <v>386</v>
      </c>
      <c r="G42" s="800">
        <v>523</v>
      </c>
      <c r="H42" s="801">
        <v>1031</v>
      </c>
      <c r="I42" s="802">
        <f t="shared" si="2"/>
        <v>539213</v>
      </c>
      <c r="J42" s="789"/>
      <c r="K42" s="787"/>
      <c r="L42" s="787"/>
      <c r="M42" s="787"/>
      <c r="N42" s="787"/>
    </row>
    <row r="43" spans="1:14" x14ac:dyDescent="0.2">
      <c r="A43" s="796" t="s">
        <v>387</v>
      </c>
      <c r="B43" s="797">
        <v>1759</v>
      </c>
      <c r="C43" s="798">
        <f t="shared" si="0"/>
        <v>349.8</v>
      </c>
      <c r="D43" s="797">
        <f t="shared" si="1"/>
        <v>615298.20000000007</v>
      </c>
      <c r="E43" s="787"/>
      <c r="F43" s="799" t="s">
        <v>387</v>
      </c>
      <c r="G43" s="800">
        <v>1041</v>
      </c>
      <c r="H43" s="801">
        <v>1031</v>
      </c>
      <c r="I43" s="802">
        <f t="shared" si="2"/>
        <v>1073271</v>
      </c>
      <c r="J43" s="789"/>
      <c r="K43" s="787"/>
      <c r="L43" s="787"/>
      <c r="M43" s="787"/>
      <c r="N43" s="787"/>
    </row>
    <row r="44" spans="1:14" x14ac:dyDescent="0.2">
      <c r="A44" s="796" t="s">
        <v>388</v>
      </c>
      <c r="B44" s="797">
        <v>2046</v>
      </c>
      <c r="C44" s="798">
        <f t="shared" si="0"/>
        <v>349.8</v>
      </c>
      <c r="D44" s="797">
        <f t="shared" si="1"/>
        <v>715690.8</v>
      </c>
      <c r="E44" s="787"/>
      <c r="F44" s="799" t="s">
        <v>388</v>
      </c>
      <c r="G44" s="800">
        <v>1236</v>
      </c>
      <c r="H44" s="801">
        <v>1031</v>
      </c>
      <c r="I44" s="802">
        <f t="shared" si="2"/>
        <v>1274316</v>
      </c>
      <c r="J44" s="789"/>
      <c r="K44" s="787"/>
      <c r="L44" s="787"/>
      <c r="M44" s="787"/>
      <c r="N44" s="787"/>
    </row>
    <row r="45" spans="1:14" x14ac:dyDescent="0.2">
      <c r="A45" s="796" t="s">
        <v>389</v>
      </c>
      <c r="B45" s="797">
        <v>1403</v>
      </c>
      <c r="C45" s="798">
        <f t="shared" si="0"/>
        <v>349.8</v>
      </c>
      <c r="D45" s="797">
        <f t="shared" si="1"/>
        <v>490769.4</v>
      </c>
      <c r="E45" s="787"/>
      <c r="F45" s="799" t="s">
        <v>389</v>
      </c>
      <c r="G45" s="800">
        <v>535</v>
      </c>
      <c r="H45" s="801">
        <v>1031</v>
      </c>
      <c r="I45" s="802">
        <f t="shared" si="2"/>
        <v>551585</v>
      </c>
      <c r="J45" s="789"/>
      <c r="K45" s="787"/>
      <c r="L45" s="787"/>
      <c r="M45" s="787"/>
      <c r="N45" s="787"/>
    </row>
    <row r="46" spans="1:14" x14ac:dyDescent="0.2">
      <c r="A46" s="796" t="s">
        <v>390</v>
      </c>
      <c r="B46" s="797">
        <v>1725</v>
      </c>
      <c r="C46" s="798">
        <f t="shared" si="0"/>
        <v>349.8</v>
      </c>
      <c r="D46" s="797">
        <f t="shared" si="1"/>
        <v>603405</v>
      </c>
      <c r="E46" s="787"/>
      <c r="F46" s="799" t="s">
        <v>390</v>
      </c>
      <c r="G46" s="800">
        <v>535</v>
      </c>
      <c r="H46" s="801">
        <v>1031</v>
      </c>
      <c r="I46" s="802">
        <f t="shared" si="2"/>
        <v>551585</v>
      </c>
      <c r="J46" s="789"/>
      <c r="K46" s="787"/>
      <c r="L46" s="787"/>
      <c r="M46" s="787"/>
      <c r="N46" s="787"/>
    </row>
    <row r="47" spans="1:14" x14ac:dyDescent="0.2">
      <c r="A47" s="796" t="s">
        <v>391</v>
      </c>
      <c r="B47" s="797">
        <v>1564</v>
      </c>
      <c r="C47" s="798">
        <f t="shared" si="0"/>
        <v>349.8</v>
      </c>
      <c r="D47" s="797">
        <f t="shared" si="1"/>
        <v>547087.20000000007</v>
      </c>
      <c r="E47" s="787"/>
      <c r="F47" s="799" t="s">
        <v>391</v>
      </c>
      <c r="G47" s="800">
        <v>510</v>
      </c>
      <c r="H47" s="801">
        <v>1031</v>
      </c>
      <c r="I47" s="802">
        <f t="shared" si="2"/>
        <v>525810</v>
      </c>
      <c r="J47" s="789"/>
      <c r="K47" s="787"/>
      <c r="L47" s="787"/>
      <c r="M47" s="787"/>
      <c r="N47" s="787"/>
    </row>
    <row r="48" spans="1:14" x14ac:dyDescent="0.2">
      <c r="A48" s="796" t="s">
        <v>392</v>
      </c>
      <c r="B48" s="797">
        <v>1644</v>
      </c>
      <c r="C48" s="798">
        <f t="shared" si="0"/>
        <v>349.8</v>
      </c>
      <c r="D48" s="797">
        <f t="shared" si="1"/>
        <v>575071.20000000007</v>
      </c>
      <c r="E48" s="787"/>
      <c r="F48" s="799" t="s">
        <v>392</v>
      </c>
      <c r="G48" s="800">
        <v>350</v>
      </c>
      <c r="H48" s="801">
        <v>1031</v>
      </c>
      <c r="I48" s="802">
        <f t="shared" si="2"/>
        <v>360850</v>
      </c>
      <c r="J48" s="789"/>
      <c r="K48" s="787"/>
      <c r="L48" s="787"/>
      <c r="M48" s="787"/>
      <c r="N48" s="787"/>
    </row>
    <row r="49" spans="1:14" x14ac:dyDescent="0.2">
      <c r="A49" s="796" t="s">
        <v>393</v>
      </c>
      <c r="B49" s="797">
        <v>1604</v>
      </c>
      <c r="C49" s="798">
        <f t="shared" si="0"/>
        <v>349.8</v>
      </c>
      <c r="D49" s="797">
        <f t="shared" si="1"/>
        <v>561079.20000000007</v>
      </c>
      <c r="E49" s="787"/>
      <c r="F49" s="799" t="s">
        <v>393</v>
      </c>
      <c r="G49" s="800">
        <v>288.22916666666669</v>
      </c>
      <c r="H49" s="801">
        <v>1031</v>
      </c>
      <c r="I49" s="802">
        <f t="shared" si="2"/>
        <v>297164.27083333337</v>
      </c>
      <c r="J49" s="789"/>
      <c r="K49" s="787"/>
      <c r="L49" s="787"/>
      <c r="M49" s="787"/>
      <c r="N49" s="787"/>
    </row>
    <row r="50" spans="1:14" x14ac:dyDescent="0.2">
      <c r="A50" s="803" t="s">
        <v>394</v>
      </c>
      <c r="B50" s="804">
        <f>SUM(B38:B49)</f>
        <v>18647</v>
      </c>
      <c r="C50" s="804"/>
      <c r="D50" s="804">
        <f>SUM(D38:D49)</f>
        <v>6522720.6000000015</v>
      </c>
      <c r="E50" s="787"/>
      <c r="F50" s="796" t="s">
        <v>394</v>
      </c>
      <c r="G50" s="805">
        <v>4858.9709201388887</v>
      </c>
      <c r="H50" s="795"/>
      <c r="I50" s="804">
        <f>SUM(I38:I49)</f>
        <v>5856316.270833333</v>
      </c>
      <c r="J50" s="789"/>
      <c r="K50" s="787"/>
      <c r="L50" s="787"/>
      <c r="M50" s="787"/>
      <c r="N50" s="787"/>
    </row>
    <row r="51" spans="1:14" x14ac:dyDescent="0.2">
      <c r="A51" s="803" t="s">
        <v>395</v>
      </c>
      <c r="B51" s="806">
        <f>+B38+B39+B40+B49</f>
        <v>5391</v>
      </c>
      <c r="C51" s="787"/>
      <c r="D51" s="787"/>
      <c r="E51" s="787"/>
      <c r="F51" s="796" t="s">
        <v>395</v>
      </c>
      <c r="G51" s="806">
        <f>+G38+G39+G40+G49</f>
        <v>670.22916666666674</v>
      </c>
      <c r="H51" s="787"/>
      <c r="I51" s="789"/>
      <c r="J51" s="789"/>
      <c r="K51" s="787"/>
      <c r="L51" s="787"/>
      <c r="M51" s="787"/>
      <c r="N51" s="787"/>
    </row>
    <row r="52" spans="1:14" x14ac:dyDescent="0.2">
      <c r="A52" s="796" t="s">
        <v>396</v>
      </c>
      <c r="B52" s="806">
        <f>SUM(B41:B48)</f>
        <v>13256</v>
      </c>
      <c r="C52" s="787"/>
      <c r="D52" s="787"/>
      <c r="E52" s="787"/>
      <c r="F52" s="796" t="s">
        <v>396</v>
      </c>
      <c r="G52" s="806">
        <f>SUM(G41:G48)</f>
        <v>5010</v>
      </c>
      <c r="H52" s="787"/>
      <c r="I52" s="789"/>
      <c r="J52" s="789"/>
      <c r="K52" s="787"/>
      <c r="L52" s="787"/>
      <c r="M52" s="787"/>
      <c r="N52" s="787"/>
    </row>
    <row r="53" spans="1:14" x14ac:dyDescent="0.2">
      <c r="A53" s="803" t="s">
        <v>397</v>
      </c>
      <c r="B53" s="804">
        <f>+B51+B52</f>
        <v>18647</v>
      </c>
      <c r="C53" s="787"/>
      <c r="D53" s="787"/>
      <c r="E53" s="787"/>
      <c r="F53" s="803" t="s">
        <v>397</v>
      </c>
      <c r="G53" s="804">
        <f>+G51+G52</f>
        <v>5680.229166666667</v>
      </c>
      <c r="H53" s="787"/>
      <c r="I53" s="789"/>
      <c r="J53" s="789"/>
      <c r="K53" s="787"/>
      <c r="L53" s="787"/>
      <c r="M53" s="787"/>
      <c r="N53" s="787"/>
    </row>
    <row r="54" spans="1:14" x14ac:dyDescent="0.2">
      <c r="A54" s="787"/>
      <c r="B54" s="787"/>
      <c r="C54" s="787"/>
      <c r="D54" s="787"/>
      <c r="E54" s="787"/>
      <c r="F54" s="787"/>
      <c r="G54" s="787"/>
      <c r="H54" s="787"/>
      <c r="I54" s="787"/>
      <c r="J54" s="789"/>
      <c r="K54" s="787"/>
      <c r="L54" s="787"/>
      <c r="M54" s="787"/>
      <c r="N54" s="787"/>
    </row>
    <row r="55" spans="1:14" x14ac:dyDescent="0.2">
      <c r="A55" s="787"/>
      <c r="B55" s="787"/>
      <c r="C55" s="787"/>
      <c r="D55" s="787"/>
      <c r="E55" s="787"/>
      <c r="F55" s="787"/>
      <c r="G55" s="787"/>
      <c r="H55" s="787"/>
      <c r="I55" s="787"/>
      <c r="J55" s="787"/>
      <c r="K55" s="787"/>
      <c r="L55" s="787"/>
      <c r="M55" s="787"/>
      <c r="N55" s="787"/>
    </row>
    <row r="56" spans="1:14" x14ac:dyDescent="0.2">
      <c r="A56" s="787"/>
      <c r="B56" s="787"/>
      <c r="C56" s="787"/>
      <c r="D56" s="787"/>
      <c r="E56" s="787"/>
      <c r="F56" s="787"/>
      <c r="G56" s="787"/>
      <c r="H56" s="787"/>
      <c r="I56" s="787"/>
      <c r="J56" s="787"/>
      <c r="K56" s="787"/>
      <c r="L56" s="787"/>
      <c r="M56" s="787"/>
      <c r="N56" s="787"/>
    </row>
    <row r="57" spans="1:14" ht="15.75" x14ac:dyDescent="0.25">
      <c r="A57" s="787"/>
      <c r="B57" s="788" t="s">
        <v>25</v>
      </c>
      <c r="C57" s="788" t="s">
        <v>375</v>
      </c>
      <c r="D57" s="787"/>
      <c r="E57" s="787"/>
      <c r="F57" s="787"/>
      <c r="G57" s="787"/>
      <c r="H57" s="787"/>
      <c r="I57" s="787"/>
      <c r="J57" s="787"/>
      <c r="K57" s="787"/>
      <c r="L57" s="787"/>
      <c r="M57" s="787"/>
      <c r="N57" s="787"/>
    </row>
    <row r="58" spans="1:14" x14ac:dyDescent="0.2">
      <c r="A58" s="787"/>
      <c r="B58" s="789"/>
      <c r="C58" s="789"/>
      <c r="D58" s="789"/>
      <c r="E58" s="789"/>
      <c r="F58" s="787"/>
      <c r="G58" s="787"/>
      <c r="H58" s="787"/>
      <c r="I58" s="787"/>
      <c r="J58" s="787"/>
      <c r="K58" s="787"/>
      <c r="L58" s="787"/>
      <c r="M58" s="787"/>
      <c r="N58" s="787"/>
    </row>
    <row r="59" spans="1:14" x14ac:dyDescent="0.2">
      <c r="A59" s="790" t="s">
        <v>376</v>
      </c>
      <c r="B59" s="791"/>
      <c r="C59" s="792" t="s">
        <v>411</v>
      </c>
      <c r="D59" s="793"/>
      <c r="E59" s="789"/>
      <c r="F59" s="787"/>
      <c r="G59" s="787"/>
      <c r="H59" s="787"/>
      <c r="I59" s="787"/>
      <c r="J59" s="787"/>
      <c r="K59" s="787"/>
      <c r="L59" s="787"/>
      <c r="M59" s="787"/>
      <c r="N59" s="787"/>
    </row>
    <row r="60" spans="1:14" x14ac:dyDescent="0.2">
      <c r="A60" s="794" t="s">
        <v>377</v>
      </c>
      <c r="B60" s="795" t="s">
        <v>381</v>
      </c>
      <c r="C60" s="795" t="s">
        <v>379</v>
      </c>
      <c r="D60" s="795" t="s">
        <v>194</v>
      </c>
      <c r="E60" s="789"/>
      <c r="F60" s="787"/>
      <c r="G60" s="787"/>
      <c r="H60" s="787"/>
      <c r="I60" s="787"/>
      <c r="J60" s="787"/>
      <c r="K60" s="787"/>
      <c r="L60" s="787"/>
      <c r="M60" s="787"/>
      <c r="N60" s="787"/>
    </row>
    <row r="61" spans="1:14" x14ac:dyDescent="0.2">
      <c r="A61" s="796" t="s">
        <v>382</v>
      </c>
      <c r="B61" s="807">
        <v>78</v>
      </c>
      <c r="C61" s="798">
        <f>672*1.045</f>
        <v>702.24</v>
      </c>
      <c r="D61" s="796">
        <f>+B61*C61</f>
        <v>54774.720000000001</v>
      </c>
      <c r="E61" s="789"/>
      <c r="F61" s="787"/>
      <c r="G61" s="787"/>
      <c r="H61" s="787"/>
      <c r="I61" s="787"/>
      <c r="J61" s="787"/>
      <c r="K61" s="787"/>
      <c r="L61" s="787"/>
      <c r="M61" s="787"/>
      <c r="N61" s="787"/>
    </row>
    <row r="62" spans="1:14" x14ac:dyDescent="0.2">
      <c r="A62" s="796" t="s">
        <v>383</v>
      </c>
      <c r="B62" s="807">
        <v>74</v>
      </c>
      <c r="C62" s="798">
        <f t="shared" ref="C62:C72" si="3">672*1.045</f>
        <v>702.24</v>
      </c>
      <c r="D62" s="796">
        <f t="shared" ref="D62:D72" si="4">+B62*C62</f>
        <v>51965.760000000002</v>
      </c>
      <c r="E62" s="789"/>
      <c r="F62" s="787"/>
      <c r="G62" s="787"/>
      <c r="H62" s="787"/>
      <c r="I62" s="787"/>
      <c r="J62" s="787"/>
      <c r="K62" s="787"/>
      <c r="L62" s="787"/>
      <c r="M62" s="787"/>
      <c r="N62" s="787"/>
    </row>
    <row r="63" spans="1:14" x14ac:dyDescent="0.2">
      <c r="A63" s="796" t="s">
        <v>384</v>
      </c>
      <c r="B63" s="807">
        <v>128</v>
      </c>
      <c r="C63" s="798">
        <f t="shared" si="3"/>
        <v>702.24</v>
      </c>
      <c r="D63" s="796">
        <f t="shared" si="4"/>
        <v>89886.720000000001</v>
      </c>
      <c r="E63" s="789"/>
      <c r="F63" s="787"/>
      <c r="G63" s="787"/>
      <c r="H63" s="787"/>
      <c r="I63" s="787"/>
      <c r="J63" s="787"/>
      <c r="K63" s="787"/>
      <c r="L63" s="787"/>
      <c r="M63" s="787"/>
      <c r="N63" s="787"/>
    </row>
    <row r="64" spans="1:14" x14ac:dyDescent="0.2">
      <c r="A64" s="796" t="s">
        <v>385</v>
      </c>
      <c r="B64" s="807">
        <v>57</v>
      </c>
      <c r="C64" s="798">
        <f t="shared" si="3"/>
        <v>702.24</v>
      </c>
      <c r="D64" s="796">
        <f t="shared" si="4"/>
        <v>40027.68</v>
      </c>
      <c r="E64" s="789"/>
      <c r="F64" s="787"/>
      <c r="G64" s="787"/>
      <c r="H64" s="787"/>
      <c r="I64" s="787"/>
      <c r="J64" s="787"/>
      <c r="K64" s="787"/>
      <c r="L64" s="787"/>
      <c r="M64" s="787"/>
      <c r="N64" s="787"/>
    </row>
    <row r="65" spans="1:14" x14ac:dyDescent="0.2">
      <c r="A65" s="796" t="s">
        <v>386</v>
      </c>
      <c r="B65" s="807">
        <v>74</v>
      </c>
      <c r="C65" s="798">
        <f t="shared" si="3"/>
        <v>702.24</v>
      </c>
      <c r="D65" s="796">
        <f t="shared" si="4"/>
        <v>51965.760000000002</v>
      </c>
      <c r="E65" s="789"/>
      <c r="F65" s="787"/>
      <c r="G65" s="787"/>
      <c r="H65" s="787"/>
      <c r="I65" s="787"/>
      <c r="J65" s="787"/>
      <c r="K65" s="787"/>
      <c r="L65" s="787"/>
      <c r="M65" s="787"/>
      <c r="N65" s="787"/>
    </row>
    <row r="66" spans="1:14" x14ac:dyDescent="0.2">
      <c r="A66" s="796" t="s">
        <v>387</v>
      </c>
      <c r="B66" s="807">
        <v>205</v>
      </c>
      <c r="C66" s="798">
        <f t="shared" si="3"/>
        <v>702.24</v>
      </c>
      <c r="D66" s="796">
        <f t="shared" si="4"/>
        <v>143959.20000000001</v>
      </c>
      <c r="E66" s="789"/>
      <c r="F66" s="787"/>
      <c r="G66" s="787"/>
      <c r="H66" s="787"/>
      <c r="I66" s="787"/>
      <c r="J66" s="787"/>
      <c r="K66" s="787"/>
      <c r="L66" s="787"/>
      <c r="M66" s="787"/>
      <c r="N66" s="787"/>
    </row>
    <row r="67" spans="1:14" x14ac:dyDescent="0.2">
      <c r="A67" s="796" t="s">
        <v>388</v>
      </c>
      <c r="B67" s="807">
        <v>136</v>
      </c>
      <c r="C67" s="798">
        <f t="shared" si="3"/>
        <v>702.24</v>
      </c>
      <c r="D67" s="796">
        <f t="shared" si="4"/>
        <v>95504.639999999999</v>
      </c>
      <c r="E67" s="789"/>
      <c r="F67" s="787"/>
      <c r="G67" s="787"/>
      <c r="H67" s="787"/>
      <c r="I67" s="787"/>
      <c r="J67" s="787"/>
      <c r="K67" s="787"/>
      <c r="L67" s="787"/>
      <c r="M67" s="787"/>
      <c r="N67" s="787"/>
    </row>
    <row r="68" spans="1:14" x14ac:dyDescent="0.2">
      <c r="A68" s="796" t="s">
        <v>389</v>
      </c>
      <c r="B68" s="808">
        <v>104</v>
      </c>
      <c r="C68" s="798">
        <f t="shared" si="3"/>
        <v>702.24</v>
      </c>
      <c r="D68" s="796">
        <f t="shared" si="4"/>
        <v>73032.960000000006</v>
      </c>
      <c r="E68" s="789"/>
      <c r="F68" s="787"/>
      <c r="G68" s="787"/>
      <c r="H68" s="787"/>
      <c r="I68" s="787"/>
      <c r="J68" s="787"/>
      <c r="K68" s="787"/>
      <c r="L68" s="787"/>
      <c r="M68" s="787"/>
      <c r="N68" s="787"/>
    </row>
    <row r="69" spans="1:14" x14ac:dyDescent="0.2">
      <c r="A69" s="796" t="s">
        <v>390</v>
      </c>
      <c r="B69" s="808">
        <v>119</v>
      </c>
      <c r="C69" s="798">
        <f t="shared" si="3"/>
        <v>702.24</v>
      </c>
      <c r="D69" s="796">
        <f t="shared" si="4"/>
        <v>83566.559999999998</v>
      </c>
      <c r="E69" s="789"/>
      <c r="F69" s="787"/>
      <c r="G69" s="787"/>
      <c r="H69" s="787"/>
      <c r="I69" s="787"/>
      <c r="J69" s="787"/>
      <c r="K69" s="787"/>
      <c r="L69" s="787"/>
      <c r="M69" s="787"/>
      <c r="N69" s="787"/>
    </row>
    <row r="70" spans="1:14" x14ac:dyDescent="0.2">
      <c r="A70" s="796" t="s">
        <v>391</v>
      </c>
      <c r="B70" s="808">
        <v>112</v>
      </c>
      <c r="C70" s="798">
        <f t="shared" si="3"/>
        <v>702.24</v>
      </c>
      <c r="D70" s="796">
        <f t="shared" si="4"/>
        <v>78650.880000000005</v>
      </c>
      <c r="E70" s="789"/>
      <c r="F70" s="787"/>
      <c r="G70" s="787"/>
      <c r="H70" s="787"/>
      <c r="I70" s="787"/>
      <c r="J70" s="787"/>
      <c r="K70" s="787"/>
      <c r="L70" s="787"/>
      <c r="M70" s="787"/>
      <c r="N70" s="787"/>
    </row>
    <row r="71" spans="1:14" x14ac:dyDescent="0.2">
      <c r="A71" s="796" t="s">
        <v>392</v>
      </c>
      <c r="B71" s="808">
        <v>116</v>
      </c>
      <c r="C71" s="798">
        <f t="shared" si="3"/>
        <v>702.24</v>
      </c>
      <c r="D71" s="796">
        <f t="shared" si="4"/>
        <v>81459.839999999997</v>
      </c>
      <c r="E71" s="789"/>
      <c r="F71" s="787"/>
      <c r="G71" s="787"/>
      <c r="H71" s="787"/>
      <c r="I71" s="787"/>
      <c r="J71" s="787"/>
      <c r="K71" s="787"/>
      <c r="L71" s="787"/>
      <c r="M71" s="787"/>
      <c r="N71" s="787"/>
    </row>
    <row r="72" spans="1:14" x14ac:dyDescent="0.2">
      <c r="A72" s="796" t="s">
        <v>393</v>
      </c>
      <c r="B72" s="808">
        <v>114</v>
      </c>
      <c r="C72" s="798">
        <f t="shared" si="3"/>
        <v>702.24</v>
      </c>
      <c r="D72" s="796">
        <f t="shared" si="4"/>
        <v>80055.360000000001</v>
      </c>
      <c r="E72" s="789"/>
      <c r="F72" s="787"/>
      <c r="G72" s="787"/>
      <c r="H72" s="787"/>
      <c r="I72" s="787"/>
      <c r="J72" s="787"/>
      <c r="K72" s="787"/>
      <c r="L72" s="787"/>
      <c r="M72" s="787"/>
      <c r="N72" s="787"/>
    </row>
    <row r="73" spans="1:14" x14ac:dyDescent="0.2">
      <c r="A73" s="803" t="s">
        <v>394</v>
      </c>
      <c r="B73" s="809">
        <f>SUM(B61:B72)</f>
        <v>1317</v>
      </c>
      <c r="C73" s="804"/>
      <c r="D73" s="804">
        <f>SUM(D61:D72)</f>
        <v>924850.08</v>
      </c>
      <c r="E73" s="789"/>
      <c r="F73" s="787"/>
      <c r="G73" s="787"/>
      <c r="H73" s="787"/>
      <c r="I73" s="787"/>
      <c r="J73" s="787"/>
      <c r="K73" s="787"/>
      <c r="L73" s="787"/>
      <c r="M73" s="787"/>
      <c r="N73" s="787"/>
    </row>
    <row r="74" spans="1:14" x14ac:dyDescent="0.2">
      <c r="A74" s="796" t="s">
        <v>395</v>
      </c>
      <c r="B74" s="807">
        <f>+B61+B62+B63+B72</f>
        <v>394</v>
      </c>
      <c r="C74" s="787"/>
      <c r="D74" s="787"/>
      <c r="E74" s="789"/>
      <c r="F74" s="787"/>
      <c r="G74" s="787"/>
      <c r="H74" s="787"/>
      <c r="I74" s="787"/>
      <c r="J74" s="787"/>
      <c r="K74" s="787"/>
      <c r="L74" s="787"/>
      <c r="M74" s="787"/>
      <c r="N74" s="787"/>
    </row>
    <row r="75" spans="1:14" x14ac:dyDescent="0.2">
      <c r="A75" s="796" t="s">
        <v>396</v>
      </c>
      <c r="B75" s="807">
        <f>SUM(B64:B71)</f>
        <v>923</v>
      </c>
      <c r="C75" s="787"/>
      <c r="D75" s="787"/>
      <c r="E75" s="789"/>
      <c r="F75" s="787"/>
      <c r="G75" s="787"/>
      <c r="H75" s="787"/>
      <c r="I75" s="787"/>
      <c r="J75" s="787"/>
      <c r="K75" s="787"/>
      <c r="L75" s="787"/>
      <c r="M75" s="787"/>
      <c r="N75" s="787"/>
    </row>
    <row r="76" spans="1:14" x14ac:dyDescent="0.2">
      <c r="A76" s="803" t="s">
        <v>397</v>
      </c>
      <c r="B76" s="809">
        <f>+B74+B75</f>
        <v>1317</v>
      </c>
      <c r="C76" s="787"/>
      <c r="D76" s="787"/>
      <c r="E76" s="789"/>
      <c r="F76" s="787"/>
      <c r="G76" s="787"/>
      <c r="H76" s="787"/>
      <c r="I76" s="787"/>
      <c r="J76" s="787"/>
      <c r="K76" s="787"/>
      <c r="L76" s="787"/>
      <c r="M76" s="787"/>
      <c r="N76" s="787"/>
    </row>
    <row r="77" spans="1:14" x14ac:dyDescent="0.2">
      <c r="A77" s="787"/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810"/>
      <c r="M77" s="787"/>
      <c r="N77" s="787"/>
    </row>
    <row r="78" spans="1:14" x14ac:dyDescent="0.2">
      <c r="A78" s="787"/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787"/>
    </row>
    <row r="79" spans="1:14" x14ac:dyDescent="0.2">
      <c r="A79" s="811" t="s">
        <v>398</v>
      </c>
      <c r="B79" s="787"/>
      <c r="C79" s="787"/>
      <c r="D79" s="787"/>
      <c r="E79" s="787"/>
      <c r="F79" s="787"/>
      <c r="G79" s="787"/>
      <c r="H79" s="787"/>
      <c r="I79" s="787"/>
      <c r="J79" s="787"/>
      <c r="K79" s="787"/>
      <c r="L79" s="787"/>
      <c r="M79" s="787"/>
      <c r="N79" s="787"/>
    </row>
    <row r="80" spans="1:14" x14ac:dyDescent="0.2">
      <c r="A80" s="811" t="s">
        <v>419</v>
      </c>
    </row>
    <row r="83" spans="1:1" x14ac:dyDescent="0.2">
      <c r="A83" s="79" t="s">
        <v>399</v>
      </c>
    </row>
    <row r="85" spans="1:1" x14ac:dyDescent="0.2">
      <c r="A85" s="79" t="s">
        <v>400</v>
      </c>
    </row>
    <row r="86" spans="1:1" x14ac:dyDescent="0.2">
      <c r="A86" s="79" t="s">
        <v>401</v>
      </c>
    </row>
    <row r="87" spans="1:1" x14ac:dyDescent="0.2">
      <c r="A87" s="79" t="s">
        <v>402</v>
      </c>
    </row>
  </sheetData>
  <mergeCells count="1">
    <mergeCell ref="J4:K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4" tint="0.39997558519241921"/>
    <pageSetUpPr fitToPage="1"/>
  </sheetPr>
  <dimension ref="A2:P49"/>
  <sheetViews>
    <sheetView zoomScale="90" zoomScaleNormal="90" workbookViewId="0">
      <selection activeCell="N11" sqref="N11"/>
    </sheetView>
  </sheetViews>
  <sheetFormatPr baseColWidth="10" defaultRowHeight="15" x14ac:dyDescent="0.25"/>
  <cols>
    <col min="1" max="1" width="38.140625" style="452" bestFit="1" customWidth="1"/>
    <col min="2" max="13" width="13.85546875" style="452" bestFit="1" customWidth="1"/>
    <col min="14" max="14" width="14.85546875" style="452" bestFit="1" customWidth="1"/>
    <col min="15" max="15" width="13.85546875" style="452" bestFit="1" customWidth="1"/>
    <col min="16" max="16" width="17.140625" style="452" bestFit="1" customWidth="1"/>
    <col min="17" max="16384" width="11.42578125" style="452"/>
  </cols>
  <sheetData>
    <row r="2" spans="1:15" ht="15.75" x14ac:dyDescent="0.25">
      <c r="A2" s="828" t="s">
        <v>246</v>
      </c>
      <c r="B2" s="828"/>
      <c r="C2" s="828"/>
      <c r="D2" s="828"/>
    </row>
    <row r="4" spans="1:15" x14ac:dyDescent="0.25">
      <c r="A4" s="453" t="s">
        <v>253</v>
      </c>
      <c r="B4" s="454" t="s">
        <v>230</v>
      </c>
      <c r="C4" s="454" t="s">
        <v>231</v>
      </c>
      <c r="D4" s="454" t="s">
        <v>232</v>
      </c>
      <c r="E4" s="454" t="s">
        <v>233</v>
      </c>
      <c r="F4" s="454" t="s">
        <v>234</v>
      </c>
      <c r="G4" s="454" t="s">
        <v>235</v>
      </c>
      <c r="H4" s="454" t="s">
        <v>236</v>
      </c>
      <c r="I4" s="454" t="s">
        <v>237</v>
      </c>
      <c r="J4" s="454" t="s">
        <v>238</v>
      </c>
      <c r="K4" s="454" t="s">
        <v>239</v>
      </c>
      <c r="L4" s="454" t="s">
        <v>240</v>
      </c>
      <c r="M4" s="454" t="s">
        <v>241</v>
      </c>
    </row>
    <row r="5" spans="1:15" x14ac:dyDescent="0.25">
      <c r="A5" s="455" t="s">
        <v>247</v>
      </c>
      <c r="B5" s="456"/>
      <c r="C5" s="456"/>
      <c r="D5" s="456">
        <f>+'B) Reajuste Tarifas y Ocupación'!$I$28</f>
        <v>25</v>
      </c>
      <c r="E5" s="456">
        <f>+'B) Reajuste Tarifas y Ocupación'!$I$28</f>
        <v>25</v>
      </c>
      <c r="F5" s="456">
        <f>+'B) Reajuste Tarifas y Ocupación'!$I$28</f>
        <v>25</v>
      </c>
      <c r="G5" s="456">
        <f>+'B) Reajuste Tarifas y Ocupación'!$I$28</f>
        <v>25</v>
      </c>
      <c r="H5" s="456">
        <f>+'B) Reajuste Tarifas y Ocupación'!$I$28</f>
        <v>25</v>
      </c>
      <c r="I5" s="456">
        <f>+'B) Reajuste Tarifas y Ocupación'!$I$28</f>
        <v>25</v>
      </c>
      <c r="J5" s="456">
        <f>+'B) Reajuste Tarifas y Ocupación'!$I$28</f>
        <v>25</v>
      </c>
      <c r="K5" s="456">
        <f>+'B) Reajuste Tarifas y Ocupación'!$I$28</f>
        <v>25</v>
      </c>
      <c r="L5" s="456">
        <f>+'B) Reajuste Tarifas y Ocupación'!$I$28</f>
        <v>25</v>
      </c>
      <c r="M5" s="456">
        <f>+'B) Reajuste Tarifas y Ocupación'!$I$28</f>
        <v>25</v>
      </c>
    </row>
    <row r="6" spans="1:15" x14ac:dyDescent="0.25">
      <c r="A6" s="455" t="s">
        <v>248</v>
      </c>
      <c r="B6" s="456">
        <f>+COUNTA('F) Remuneraciones'!$C$11:$C$18)</f>
        <v>5</v>
      </c>
      <c r="C6" s="456">
        <f>+COUNTA('F) Remuneraciones'!$C$11:$C$18)</f>
        <v>5</v>
      </c>
      <c r="D6" s="456">
        <f>+COUNTA('F) Remuneraciones'!$C$11:$C$18)</f>
        <v>5</v>
      </c>
      <c r="E6" s="456">
        <f>+COUNTA('F) Remuneraciones'!$C$11:$C$18)</f>
        <v>5</v>
      </c>
      <c r="F6" s="456">
        <f>+COUNTA('F) Remuneraciones'!$C$11:$C$18)</f>
        <v>5</v>
      </c>
      <c r="G6" s="456">
        <f>+COUNTA('F) Remuneraciones'!$C$11:$C$18)</f>
        <v>5</v>
      </c>
      <c r="H6" s="456">
        <f>+COUNTA('F) Remuneraciones'!$C$11:$C$18)</f>
        <v>5</v>
      </c>
      <c r="I6" s="456">
        <f>+COUNTA('F) Remuneraciones'!$C$11:$C$18)</f>
        <v>5</v>
      </c>
      <c r="J6" s="456">
        <f>+COUNTA('F) Remuneraciones'!$C$11:$C$18)</f>
        <v>5</v>
      </c>
      <c r="K6" s="456">
        <f>+COUNTA('F) Remuneraciones'!$C$11:$C$18)</f>
        <v>5</v>
      </c>
      <c r="L6" s="456">
        <f>+COUNTA('F) Remuneraciones'!$C$11:$C$18)</f>
        <v>5</v>
      </c>
      <c r="M6" s="456">
        <f>+COUNTA('F) Remuneraciones'!$C$11:$C$18)</f>
        <v>5</v>
      </c>
    </row>
    <row r="7" spans="1:15" x14ac:dyDescent="0.25">
      <c r="A7" s="455"/>
      <c r="B7" s="457"/>
      <c r="C7" s="457"/>
      <c r="D7" s="457"/>
      <c r="E7" s="457"/>
      <c r="F7" s="457"/>
      <c r="G7" s="457"/>
      <c r="H7" s="457"/>
      <c r="I7" s="457"/>
      <c r="J7" s="457"/>
      <c r="K7" s="457"/>
      <c r="L7" s="457"/>
      <c r="M7" s="457"/>
    </row>
    <row r="8" spans="1:15" ht="30" x14ac:dyDescent="0.25">
      <c r="A8" s="458" t="str">
        <f>+'A) Resumen Ingresos y Egresos'!A22</f>
        <v>Jardín Infantil Tortuguita Marina</v>
      </c>
      <c r="B8" s="454" t="s">
        <v>230</v>
      </c>
      <c r="C8" s="454" t="s">
        <v>231</v>
      </c>
      <c r="D8" s="454" t="s">
        <v>232</v>
      </c>
      <c r="E8" s="454" t="s">
        <v>233</v>
      </c>
      <c r="F8" s="454" t="s">
        <v>234</v>
      </c>
      <c r="G8" s="454" t="s">
        <v>235</v>
      </c>
      <c r="H8" s="454" t="s">
        <v>236</v>
      </c>
      <c r="I8" s="454" t="s">
        <v>237</v>
      </c>
      <c r="J8" s="454" t="s">
        <v>238</v>
      </c>
      <c r="K8" s="454" t="s">
        <v>239</v>
      </c>
      <c r="L8" s="454" t="s">
        <v>240</v>
      </c>
      <c r="M8" s="454" t="s">
        <v>241</v>
      </c>
      <c r="N8" s="454" t="s">
        <v>249</v>
      </c>
    </row>
    <row r="9" spans="1:15" x14ac:dyDescent="0.25">
      <c r="A9" s="459" t="s">
        <v>242</v>
      </c>
      <c r="B9" s="460">
        <f>+'A) Resumen Ingresos y Egresos'!P28</f>
        <v>0</v>
      </c>
      <c r="C9" s="460">
        <f>+'A) Resumen Ingresos y Egresos'!N28*0.7</f>
        <v>2015299.9999999998</v>
      </c>
      <c r="D9" s="460">
        <f>+'A) Resumen Ingresos y Egresos'!N28*0.3+'A) Resumen Ingresos y Egresos'!O28*0.1</f>
        <v>3742700</v>
      </c>
      <c r="E9" s="460">
        <f>+'A) Resumen Ingresos y Egresos'!$O$28*0.1</f>
        <v>2879000</v>
      </c>
      <c r="F9" s="460">
        <f>+'A) Resumen Ingresos y Egresos'!$O$28*0.1</f>
        <v>2879000</v>
      </c>
      <c r="G9" s="460">
        <f>+'A) Resumen Ingresos y Egresos'!$O$28*0.1</f>
        <v>2879000</v>
      </c>
      <c r="H9" s="460">
        <f>+'A) Resumen Ingresos y Egresos'!$O$28*0.1</f>
        <v>2879000</v>
      </c>
      <c r="I9" s="460">
        <f>+'A) Resumen Ingresos y Egresos'!$O$28*0.1</f>
        <v>2879000</v>
      </c>
      <c r="J9" s="460">
        <f>+'A) Resumen Ingresos y Egresos'!$O$28*0.1</f>
        <v>2879000</v>
      </c>
      <c r="K9" s="460">
        <f>+'A) Resumen Ingresos y Egresos'!$O$28*0.1</f>
        <v>2879000</v>
      </c>
      <c r="L9" s="460">
        <f>+'A) Resumen Ingresos y Egresos'!$O$28*0.1</f>
        <v>2879000</v>
      </c>
      <c r="M9" s="460">
        <f>+'A) Resumen Ingresos y Egresos'!$O$28*0.1</f>
        <v>2879000</v>
      </c>
      <c r="N9" s="461">
        <f>SUM(B9:M9)</f>
        <v>31669000</v>
      </c>
    </row>
    <row r="10" spans="1:15" x14ac:dyDescent="0.25">
      <c r="A10" s="459" t="s">
        <v>243</v>
      </c>
      <c r="B10" s="460">
        <f>SUM('F) Remuneraciones'!$L$11)/12</f>
        <v>2401774.6832291665</v>
      </c>
      <c r="C10" s="460">
        <f>SUM('F) Remuneraciones'!$L$11)/12</f>
        <v>2401774.6832291665</v>
      </c>
      <c r="D10" s="460">
        <f>SUM('F) Remuneraciones'!$L$11)/12</f>
        <v>2401774.6832291665</v>
      </c>
      <c r="E10" s="460">
        <f>SUM('F) Remuneraciones'!$L$11)/12</f>
        <v>2401774.6832291665</v>
      </c>
      <c r="F10" s="460">
        <f>SUM('F) Remuneraciones'!$L$11)/12</f>
        <v>2401774.6832291665</v>
      </c>
      <c r="G10" s="460">
        <f>SUM('F) Remuneraciones'!$L$11)/12</f>
        <v>2401774.6832291665</v>
      </c>
      <c r="H10" s="460">
        <f>SUM('F) Remuneraciones'!$L$11)/12</f>
        <v>2401774.6832291665</v>
      </c>
      <c r="I10" s="460">
        <f>SUM('F) Remuneraciones'!$L$11)/12</f>
        <v>2401774.6832291665</v>
      </c>
      <c r="J10" s="460">
        <f>SUM('F) Remuneraciones'!$L$11)/12</f>
        <v>2401774.6832291665</v>
      </c>
      <c r="K10" s="460">
        <f>SUM('F) Remuneraciones'!$L$11)/12</f>
        <v>2401774.6832291665</v>
      </c>
      <c r="L10" s="460">
        <f>SUM('F) Remuneraciones'!$L$11)/12</f>
        <v>2401774.6832291665</v>
      </c>
      <c r="M10" s="460">
        <f>SUM('F) Remuneraciones'!$L$11)/12</f>
        <v>2401774.6832291665</v>
      </c>
      <c r="N10" s="461">
        <f>SUM(B10:M10)</f>
        <v>28821296.19875</v>
      </c>
    </row>
    <row r="11" spans="1:15" x14ac:dyDescent="0.25">
      <c r="A11" s="459" t="s">
        <v>244</v>
      </c>
      <c r="B11" s="460">
        <f>(+'C) Costos Directos'!$H$75-'C) Costos Directos'!$D$14)*0.05</f>
        <v>786387.16281249991</v>
      </c>
      <c r="C11" s="460">
        <f>(+'C) Costos Directos'!$H$75-'C) Costos Directos'!$D$14)*0.05</f>
        <v>786387.16281249991</v>
      </c>
      <c r="D11" s="460">
        <f>(+'C) Costos Directos'!$H$75-'C) Costos Directos'!$D$14)*0.09</f>
        <v>1415496.8930624998</v>
      </c>
      <c r="E11" s="460">
        <f>(+'C) Costos Directos'!$H$75-'C) Costos Directos'!$D$14)*0.09</f>
        <v>1415496.8930624998</v>
      </c>
      <c r="F11" s="460">
        <f>(+'C) Costos Directos'!$H$75-'C) Costos Directos'!$D$14)*0.09</f>
        <v>1415496.8930624998</v>
      </c>
      <c r="G11" s="460">
        <f>(+'C) Costos Directos'!$H$75-'C) Costos Directos'!$D$14)*0.09</f>
        <v>1415496.8930624998</v>
      </c>
      <c r="H11" s="460">
        <f>(+'C) Costos Directos'!$H$75-'C) Costos Directos'!$D$14)*0.09</f>
        <v>1415496.8930624998</v>
      </c>
      <c r="I11" s="460">
        <f>(+'C) Costos Directos'!$H$75-'C) Costos Directos'!$D$14)*0.09</f>
        <v>1415496.8930624998</v>
      </c>
      <c r="J11" s="460">
        <f>(+'C) Costos Directos'!$H$75-'C) Costos Directos'!$D$14)*0.09</f>
        <v>1415496.8930624998</v>
      </c>
      <c r="K11" s="460">
        <f>(+'C) Costos Directos'!$H$75-'C) Costos Directos'!$D$14)*0.09</f>
        <v>1415496.8930624998</v>
      </c>
      <c r="L11" s="460">
        <f>(+'C) Costos Directos'!$H$75-'C) Costos Directos'!$D$14)*0.09</f>
        <v>1415496.8930624998</v>
      </c>
      <c r="M11" s="460">
        <f>(+'C) Costos Directos'!$H$75-'C) Costos Directos'!$D$14)*0.09</f>
        <v>1415496.8930624998</v>
      </c>
      <c r="N11" s="461">
        <f>SUM(B11:M11)</f>
        <v>15727743.256250001</v>
      </c>
      <c r="O11" s="460"/>
    </row>
    <row r="12" spans="1:15" x14ac:dyDescent="0.25">
      <c r="A12" s="462" t="s">
        <v>250</v>
      </c>
      <c r="B12" s="463">
        <f>+B9-B10-B11</f>
        <v>-3188161.8460416663</v>
      </c>
      <c r="C12" s="463">
        <f t="shared" ref="C12:N12" si="0">+C9-C10-C11</f>
        <v>-1172861.8460416668</v>
      </c>
      <c r="D12" s="463">
        <f t="shared" si="0"/>
        <v>-74571.576291666366</v>
      </c>
      <c r="E12" s="463">
        <f t="shared" si="0"/>
        <v>-938271.57629166637</v>
      </c>
      <c r="F12" s="463">
        <f t="shared" si="0"/>
        <v>-938271.57629166637</v>
      </c>
      <c r="G12" s="463">
        <f t="shared" si="0"/>
        <v>-938271.57629166637</v>
      </c>
      <c r="H12" s="463">
        <f t="shared" si="0"/>
        <v>-938271.57629166637</v>
      </c>
      <c r="I12" s="463">
        <f t="shared" si="0"/>
        <v>-938271.57629166637</v>
      </c>
      <c r="J12" s="463">
        <f t="shared" si="0"/>
        <v>-938271.57629166637</v>
      </c>
      <c r="K12" s="463">
        <f t="shared" si="0"/>
        <v>-938271.57629166637</v>
      </c>
      <c r="L12" s="463">
        <f t="shared" si="0"/>
        <v>-938271.57629166637</v>
      </c>
      <c r="M12" s="463">
        <f t="shared" si="0"/>
        <v>-938271.57629166637</v>
      </c>
      <c r="N12" s="463">
        <f t="shared" si="0"/>
        <v>-12880039.455000002</v>
      </c>
      <c r="O12" s="460"/>
    </row>
    <row r="15" spans="1:15" x14ac:dyDescent="0.25">
      <c r="A15" s="453" t="s">
        <v>253</v>
      </c>
      <c r="B15" s="454" t="s">
        <v>230</v>
      </c>
      <c r="C15" s="454" t="s">
        <v>231</v>
      </c>
      <c r="D15" s="454" t="s">
        <v>232</v>
      </c>
      <c r="E15" s="454" t="s">
        <v>233</v>
      </c>
      <c r="F15" s="454" t="s">
        <v>234</v>
      </c>
      <c r="G15" s="454" t="s">
        <v>235</v>
      </c>
      <c r="H15" s="454" t="s">
        <v>236</v>
      </c>
      <c r="I15" s="454" t="s">
        <v>237</v>
      </c>
      <c r="J15" s="454" t="s">
        <v>238</v>
      </c>
      <c r="K15" s="454" t="s">
        <v>239</v>
      </c>
      <c r="L15" s="454" t="s">
        <v>240</v>
      </c>
      <c r="M15" s="454" t="s">
        <v>241</v>
      </c>
    </row>
    <row r="16" spans="1:15" x14ac:dyDescent="0.25">
      <c r="A16" s="455" t="s">
        <v>247</v>
      </c>
      <c r="B16" s="456"/>
      <c r="C16" s="456"/>
      <c r="D16" s="456">
        <f>+'B) Reajuste Tarifas y Ocupación'!$I$30</f>
        <v>25</v>
      </c>
      <c r="E16" s="456">
        <f>+'B) Reajuste Tarifas y Ocupación'!$I$30</f>
        <v>25</v>
      </c>
      <c r="F16" s="456">
        <f>+'B) Reajuste Tarifas y Ocupación'!$I$30</f>
        <v>25</v>
      </c>
      <c r="G16" s="456">
        <f>+'B) Reajuste Tarifas y Ocupación'!$I$30</f>
        <v>25</v>
      </c>
      <c r="H16" s="456">
        <f>+'B) Reajuste Tarifas y Ocupación'!$I$30</f>
        <v>25</v>
      </c>
      <c r="I16" s="456">
        <f>+'B) Reajuste Tarifas y Ocupación'!$I$30</f>
        <v>25</v>
      </c>
      <c r="J16" s="456">
        <f>+'B) Reajuste Tarifas y Ocupación'!$I$30</f>
        <v>25</v>
      </c>
      <c r="K16" s="456">
        <f>+'B) Reajuste Tarifas y Ocupación'!$I$30</f>
        <v>25</v>
      </c>
      <c r="L16" s="456">
        <f>+'B) Reajuste Tarifas y Ocupación'!$I$30</f>
        <v>25</v>
      </c>
      <c r="M16" s="456">
        <f>+'B) Reajuste Tarifas y Ocupación'!$I$30</f>
        <v>25</v>
      </c>
    </row>
    <row r="17" spans="1:14" x14ac:dyDescent="0.25">
      <c r="A17" s="455" t="s">
        <v>248</v>
      </c>
      <c r="B17" s="456">
        <f>+COUNTA('F) Remuneraciones'!$C$19:$C$26)</f>
        <v>4</v>
      </c>
      <c r="C17" s="456">
        <f>+COUNTA('F) Remuneraciones'!$C$19:$C$26)</f>
        <v>4</v>
      </c>
      <c r="D17" s="456">
        <f>+COUNTA('F) Remuneraciones'!$C$19:$C$26)</f>
        <v>4</v>
      </c>
      <c r="E17" s="456">
        <f>+COUNTA('F) Remuneraciones'!$C$19:$C$26)</f>
        <v>4</v>
      </c>
      <c r="F17" s="456">
        <f>+COUNTA('F) Remuneraciones'!$C$19:$C$26)</f>
        <v>4</v>
      </c>
      <c r="G17" s="456">
        <f>+COUNTA('F) Remuneraciones'!$C$19:$C$26)</f>
        <v>4</v>
      </c>
      <c r="H17" s="456">
        <f>+COUNTA('F) Remuneraciones'!$C$19:$C$26)</f>
        <v>4</v>
      </c>
      <c r="I17" s="456">
        <f>+COUNTA('F) Remuneraciones'!$C$19:$C$26)</f>
        <v>4</v>
      </c>
      <c r="J17" s="456">
        <f>+COUNTA('F) Remuneraciones'!$C$19:$C$26)</f>
        <v>4</v>
      </c>
      <c r="K17" s="456">
        <f>+COUNTA('F) Remuneraciones'!$C$19:$C$26)</f>
        <v>4</v>
      </c>
      <c r="L17" s="456">
        <f>+COUNTA('F) Remuneraciones'!$C$19:$C$26)</f>
        <v>4</v>
      </c>
      <c r="M17" s="456">
        <f>+COUNTA('F) Remuneraciones'!$C$19:$C$26)</f>
        <v>4</v>
      </c>
    </row>
    <row r="18" spans="1:14" x14ac:dyDescent="0.25">
      <c r="A18" s="455"/>
      <c r="B18" s="457"/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</row>
    <row r="19" spans="1:14" ht="30" x14ac:dyDescent="0.25">
      <c r="A19" s="458" t="str">
        <f>+'A) Resumen Ingresos y Egresos'!A29</f>
        <v>Jardín Infantil Burbujitas de Mar</v>
      </c>
      <c r="B19" s="454" t="s">
        <v>230</v>
      </c>
      <c r="C19" s="454" t="s">
        <v>231</v>
      </c>
      <c r="D19" s="454" t="s">
        <v>232</v>
      </c>
      <c r="E19" s="454" t="s">
        <v>233</v>
      </c>
      <c r="F19" s="454" t="s">
        <v>234</v>
      </c>
      <c r="G19" s="454" t="s">
        <v>235</v>
      </c>
      <c r="H19" s="454" t="s">
        <v>236</v>
      </c>
      <c r="I19" s="454" t="s">
        <v>237</v>
      </c>
      <c r="J19" s="454" t="s">
        <v>238</v>
      </c>
      <c r="K19" s="454" t="s">
        <v>239</v>
      </c>
      <c r="L19" s="454" t="s">
        <v>240</v>
      </c>
      <c r="M19" s="454" t="s">
        <v>241</v>
      </c>
      <c r="N19" s="454" t="s">
        <v>249</v>
      </c>
    </row>
    <row r="20" spans="1:14" x14ac:dyDescent="0.25">
      <c r="A20" s="459" t="s">
        <v>242</v>
      </c>
      <c r="B20" s="460">
        <f>+'A) Resumen Ingresos y Egresos'!P35</f>
        <v>0</v>
      </c>
      <c r="C20" s="460">
        <f>+'A) Resumen Ingresos y Egresos'!N35*0.7</f>
        <v>2371250</v>
      </c>
      <c r="D20" s="460">
        <f>+'A) Resumen Ingresos y Egresos'!N35*0.3+'A) Resumen Ingresos y Egresos'!O35*0.1</f>
        <v>4403750</v>
      </c>
      <c r="E20" s="460">
        <f>+'A) Resumen Ingresos y Egresos'!$O$35*0.1</f>
        <v>3387500</v>
      </c>
      <c r="F20" s="460">
        <f>+'A) Resumen Ingresos y Egresos'!$O$35*0.1</f>
        <v>3387500</v>
      </c>
      <c r="G20" s="460">
        <f>+'A) Resumen Ingresos y Egresos'!$O$35*0.1</f>
        <v>3387500</v>
      </c>
      <c r="H20" s="460">
        <f>+'A) Resumen Ingresos y Egresos'!$O$35*0.1</f>
        <v>3387500</v>
      </c>
      <c r="I20" s="460">
        <f>+'A) Resumen Ingresos y Egresos'!$O$35*0.1</f>
        <v>3387500</v>
      </c>
      <c r="J20" s="460">
        <f>+'A) Resumen Ingresos y Egresos'!$O$35*0.1</f>
        <v>3387500</v>
      </c>
      <c r="K20" s="460">
        <f>+'A) Resumen Ingresos y Egresos'!$O$35*0.1</f>
        <v>3387500</v>
      </c>
      <c r="L20" s="460">
        <f>+'A) Resumen Ingresos y Egresos'!$O$35*0.1</f>
        <v>3387500</v>
      </c>
      <c r="M20" s="460">
        <f>+'A) Resumen Ingresos y Egresos'!$O$35*0.1</f>
        <v>3387500</v>
      </c>
      <c r="N20" s="461">
        <f>SUM(B20:M20)</f>
        <v>37262500</v>
      </c>
    </row>
    <row r="21" spans="1:14" x14ac:dyDescent="0.25">
      <c r="A21" s="459" t="s">
        <v>243</v>
      </c>
      <c r="B21" s="460">
        <f>SUM('F) Remuneraciones'!$L$19)/12</f>
        <v>874940.30307291669</v>
      </c>
      <c r="C21" s="460">
        <f>SUM('F) Remuneraciones'!$L$19)/12</f>
        <v>874940.30307291669</v>
      </c>
      <c r="D21" s="460">
        <f>SUM('F) Remuneraciones'!$L$19)/12</f>
        <v>874940.30307291669</v>
      </c>
      <c r="E21" s="460">
        <f>SUM('F) Remuneraciones'!$L$19)/12</f>
        <v>874940.30307291669</v>
      </c>
      <c r="F21" s="460">
        <f>SUM('F) Remuneraciones'!$L$19)/12</f>
        <v>874940.30307291669</v>
      </c>
      <c r="G21" s="460">
        <f>SUM('F) Remuneraciones'!$L$19)/12</f>
        <v>874940.30307291669</v>
      </c>
      <c r="H21" s="460">
        <f>SUM('F) Remuneraciones'!$L$19)/12</f>
        <v>874940.30307291669</v>
      </c>
      <c r="I21" s="460">
        <f>SUM('F) Remuneraciones'!$L$19)/12</f>
        <v>874940.30307291669</v>
      </c>
      <c r="J21" s="460">
        <f>SUM('F) Remuneraciones'!$L$19)/12</f>
        <v>874940.30307291669</v>
      </c>
      <c r="K21" s="460">
        <f>SUM('F) Remuneraciones'!$L$19)/12</f>
        <v>874940.30307291669</v>
      </c>
      <c r="L21" s="460">
        <f>SUM('F) Remuneraciones'!$L$19)/12</f>
        <v>874940.30307291669</v>
      </c>
      <c r="M21" s="460">
        <f>SUM('F) Remuneraciones'!$L$19)/12</f>
        <v>874940.30307291669</v>
      </c>
      <c r="N21" s="461">
        <f>SUM(B21:M21)</f>
        <v>10499283.636874998</v>
      </c>
    </row>
    <row r="22" spans="1:14" x14ac:dyDescent="0.25">
      <c r="A22" s="459" t="s">
        <v>244</v>
      </c>
      <c r="B22" s="460">
        <f>(+'C) Costos Directos'!$H$141-'C) Costos Directos'!$D$80)/12</f>
        <v>2302829.0443120454</v>
      </c>
      <c r="C22" s="460">
        <f>(+'C) Costos Directos'!$H$141-'C) Costos Directos'!$D$80)/12</f>
        <v>2302829.0443120454</v>
      </c>
      <c r="D22" s="460">
        <f>(+'C) Costos Directos'!$H$141-'C) Costos Directos'!$D$80)/12</f>
        <v>2302829.0443120454</v>
      </c>
      <c r="E22" s="460">
        <f>(+'C) Costos Directos'!$H$141-'C) Costos Directos'!$D$80)/12</f>
        <v>2302829.0443120454</v>
      </c>
      <c r="F22" s="460">
        <f>(+'C) Costos Directos'!$H$141-'C) Costos Directos'!$D$80)/12</f>
        <v>2302829.0443120454</v>
      </c>
      <c r="G22" s="460">
        <f>(+'C) Costos Directos'!$H$141-'C) Costos Directos'!$D$80)/12</f>
        <v>2302829.0443120454</v>
      </c>
      <c r="H22" s="460">
        <f>(+'C) Costos Directos'!$H$141-'C) Costos Directos'!$D$80)/12</f>
        <v>2302829.0443120454</v>
      </c>
      <c r="I22" s="460">
        <f>(+'C) Costos Directos'!$H$141-'C) Costos Directos'!$D$80)/12</f>
        <v>2302829.0443120454</v>
      </c>
      <c r="J22" s="460">
        <f>(+'C) Costos Directos'!$H$141-'C) Costos Directos'!$D$80)/12</f>
        <v>2302829.0443120454</v>
      </c>
      <c r="K22" s="460">
        <f>(+'C) Costos Directos'!$H$141-'C) Costos Directos'!$D$80)/12</f>
        <v>2302829.0443120454</v>
      </c>
      <c r="L22" s="460">
        <f>(+'C) Costos Directos'!$H$141-'C) Costos Directos'!$D$80)/12</f>
        <v>2302829.0443120454</v>
      </c>
      <c r="M22" s="460">
        <f>(+'C) Costos Directos'!$H$141-'C) Costos Directos'!$D$80)/12</f>
        <v>2302829.0443120454</v>
      </c>
      <c r="N22" s="461">
        <f>SUM(B22:M22)</f>
        <v>27633948.531744543</v>
      </c>
    </row>
    <row r="23" spans="1:14" x14ac:dyDescent="0.25">
      <c r="A23" s="462" t="s">
        <v>250</v>
      </c>
      <c r="B23" s="463">
        <f t="shared" ref="B23:N23" si="1">+B20-B21-B22</f>
        <v>-3177769.3473849623</v>
      </c>
      <c r="C23" s="463">
        <f t="shared" si="1"/>
        <v>-806519.34738496225</v>
      </c>
      <c r="D23" s="463">
        <f t="shared" si="1"/>
        <v>1225980.6526150377</v>
      </c>
      <c r="E23" s="463">
        <f t="shared" si="1"/>
        <v>209730.65261503775</v>
      </c>
      <c r="F23" s="463">
        <f t="shared" si="1"/>
        <v>209730.65261503775</v>
      </c>
      <c r="G23" s="463">
        <f t="shared" si="1"/>
        <v>209730.65261503775</v>
      </c>
      <c r="H23" s="463">
        <f t="shared" si="1"/>
        <v>209730.65261503775</v>
      </c>
      <c r="I23" s="463">
        <f t="shared" si="1"/>
        <v>209730.65261503775</v>
      </c>
      <c r="J23" s="463">
        <f t="shared" si="1"/>
        <v>209730.65261503775</v>
      </c>
      <c r="K23" s="463">
        <f t="shared" si="1"/>
        <v>209730.65261503775</v>
      </c>
      <c r="L23" s="463">
        <f t="shared" si="1"/>
        <v>209730.65261503775</v>
      </c>
      <c r="M23" s="463">
        <f t="shared" si="1"/>
        <v>209730.65261503775</v>
      </c>
      <c r="N23" s="463">
        <f t="shared" si="1"/>
        <v>-870732.16861953959</v>
      </c>
    </row>
    <row r="26" spans="1:14" x14ac:dyDescent="0.25">
      <c r="A26" s="453" t="s">
        <v>253</v>
      </c>
      <c r="B26" s="454" t="s">
        <v>230</v>
      </c>
      <c r="C26" s="454" t="s">
        <v>231</v>
      </c>
      <c r="D26" s="454" t="s">
        <v>232</v>
      </c>
      <c r="E26" s="454" t="s">
        <v>233</v>
      </c>
      <c r="F26" s="454" t="s">
        <v>234</v>
      </c>
      <c r="G26" s="454" t="s">
        <v>235</v>
      </c>
      <c r="H26" s="454" t="s">
        <v>236</v>
      </c>
      <c r="I26" s="454" t="s">
        <v>237</v>
      </c>
      <c r="J26" s="454" t="s">
        <v>238</v>
      </c>
      <c r="K26" s="454" t="s">
        <v>239</v>
      </c>
      <c r="L26" s="454" t="s">
        <v>240</v>
      </c>
      <c r="M26" s="454" t="s">
        <v>241</v>
      </c>
    </row>
    <row r="27" spans="1:14" x14ac:dyDescent="0.25">
      <c r="A27" s="455" t="s">
        <v>247</v>
      </c>
      <c r="B27" s="456">
        <f>+'B) Reajuste Tarifas y Ocupación'!$I$36</f>
        <v>42</v>
      </c>
      <c r="C27" s="456">
        <f>+'B) Reajuste Tarifas y Ocupación'!$I$36</f>
        <v>42</v>
      </c>
      <c r="D27" s="456">
        <f>+'B) Reajuste Tarifas y Ocupación'!$I$36</f>
        <v>42</v>
      </c>
      <c r="E27" s="456">
        <f>+'B) Reajuste Tarifas y Ocupación'!$I$36</f>
        <v>42</v>
      </c>
      <c r="F27" s="456">
        <f>+'B) Reajuste Tarifas y Ocupación'!$I$36</f>
        <v>42</v>
      </c>
      <c r="G27" s="456">
        <f>+'B) Reajuste Tarifas y Ocupación'!$I$36</f>
        <v>42</v>
      </c>
      <c r="H27" s="456">
        <f>+'B) Reajuste Tarifas y Ocupación'!$I$36</f>
        <v>42</v>
      </c>
      <c r="I27" s="456">
        <f>+'B) Reajuste Tarifas y Ocupación'!$I$36</f>
        <v>42</v>
      </c>
      <c r="J27" s="456">
        <f>+'B) Reajuste Tarifas y Ocupación'!$I$36</f>
        <v>42</v>
      </c>
      <c r="K27" s="456">
        <f>+'B) Reajuste Tarifas y Ocupación'!$I$36</f>
        <v>42</v>
      </c>
      <c r="L27" s="456">
        <f>+'B) Reajuste Tarifas y Ocupación'!$I$36</f>
        <v>42</v>
      </c>
      <c r="M27" s="456">
        <f>+'B) Reajuste Tarifas y Ocupación'!$I$36</f>
        <v>42</v>
      </c>
    </row>
    <row r="28" spans="1:14" x14ac:dyDescent="0.25">
      <c r="A28" s="455" t="s">
        <v>248</v>
      </c>
      <c r="B28" s="456">
        <f>+COUNTA('F) Remuneraciones'!$C$29:$C$43)</f>
        <v>14</v>
      </c>
      <c r="C28" s="456">
        <f>+COUNTA('F) Remuneraciones'!$C$29:$C$43)</f>
        <v>14</v>
      </c>
      <c r="D28" s="456">
        <f>+COUNTA('F) Remuneraciones'!$C$29:$C$43)</f>
        <v>14</v>
      </c>
      <c r="E28" s="456">
        <f>+COUNTA('F) Remuneraciones'!$C$29:$C$43)</f>
        <v>14</v>
      </c>
      <c r="F28" s="456">
        <f>+COUNTA('F) Remuneraciones'!$C$29:$C$43)</f>
        <v>14</v>
      </c>
      <c r="G28" s="456">
        <f>+COUNTA('F) Remuneraciones'!$C$29:$C$43)</f>
        <v>14</v>
      </c>
      <c r="H28" s="456">
        <f>+COUNTA('F) Remuneraciones'!$C$29:$C$43)</f>
        <v>14</v>
      </c>
      <c r="I28" s="456">
        <f>+COUNTA('F) Remuneraciones'!$C$29:$C$43)</f>
        <v>14</v>
      </c>
      <c r="J28" s="456">
        <f>+COUNTA('F) Remuneraciones'!$C$29:$C$43)</f>
        <v>14</v>
      </c>
      <c r="K28" s="456">
        <f>+COUNTA('F) Remuneraciones'!$C$29:$C$43)</f>
        <v>14</v>
      </c>
      <c r="L28" s="456">
        <f>+COUNTA('F) Remuneraciones'!$C$29:$C$43)</f>
        <v>14</v>
      </c>
      <c r="M28" s="456">
        <f>+COUNTA('F) Remuneraciones'!$C$29:$C$43)</f>
        <v>14</v>
      </c>
    </row>
    <row r="29" spans="1:14" x14ac:dyDescent="0.25">
      <c r="A29" s="455"/>
      <c r="B29" s="457"/>
      <c r="C29" s="457"/>
      <c r="D29" s="457"/>
      <c r="E29" s="457"/>
      <c r="F29" s="457"/>
      <c r="G29" s="457"/>
      <c r="H29" s="457"/>
      <c r="I29" s="457"/>
      <c r="J29" s="457"/>
      <c r="K29" s="457"/>
      <c r="L29" s="457"/>
      <c r="M29" s="457"/>
    </row>
    <row r="30" spans="1:14" ht="30" x14ac:dyDescent="0.25">
      <c r="A30" s="458" t="s">
        <v>254</v>
      </c>
      <c r="B30" s="454" t="s">
        <v>230</v>
      </c>
      <c r="C30" s="454" t="s">
        <v>231</v>
      </c>
      <c r="D30" s="454" t="s">
        <v>232</v>
      </c>
      <c r="E30" s="454" t="s">
        <v>233</v>
      </c>
      <c r="F30" s="454" t="s">
        <v>234</v>
      </c>
      <c r="G30" s="454" t="s">
        <v>235</v>
      </c>
      <c r="H30" s="454" t="s">
        <v>236</v>
      </c>
      <c r="I30" s="454" t="s">
        <v>237</v>
      </c>
      <c r="J30" s="454" t="s">
        <v>238</v>
      </c>
      <c r="K30" s="454" t="s">
        <v>239</v>
      </c>
      <c r="L30" s="454" t="s">
        <v>240</v>
      </c>
      <c r="M30" s="454" t="s">
        <v>241</v>
      </c>
      <c r="N30" s="454" t="s">
        <v>249</v>
      </c>
    </row>
    <row r="31" spans="1:14" x14ac:dyDescent="0.25">
      <c r="A31" s="459" t="s">
        <v>242</v>
      </c>
      <c r="B31" s="460">
        <f>+('A) Resumen Ingresos y Egresos'!$N$38+'A) Resumen Ingresos y Egresos'!$O$38+'A) Resumen Ingresos y Egresos'!$N$44+'A) Resumen Ingresos y Egresos'!$O$44)/12</f>
        <v>18379200</v>
      </c>
      <c r="C31" s="460">
        <f>+('A) Resumen Ingresos y Egresos'!$N$38+'A) Resumen Ingresos y Egresos'!$O$38+'A) Resumen Ingresos y Egresos'!$N$44+'A) Resumen Ingresos y Egresos'!$O$44)/12</f>
        <v>18379200</v>
      </c>
      <c r="D31" s="460">
        <f>+('A) Resumen Ingresos y Egresos'!$N$38+'A) Resumen Ingresos y Egresos'!$O$38+'A) Resumen Ingresos y Egresos'!$N$44+'A) Resumen Ingresos y Egresos'!$O$44)/12</f>
        <v>18379200</v>
      </c>
      <c r="E31" s="460">
        <f>+('A) Resumen Ingresos y Egresos'!$N$38+'A) Resumen Ingresos y Egresos'!$O$38+'A) Resumen Ingresos y Egresos'!$N$44+'A) Resumen Ingresos y Egresos'!$O$44)/12</f>
        <v>18379200</v>
      </c>
      <c r="F31" s="460">
        <f>+('A) Resumen Ingresos y Egresos'!$N$38+'A) Resumen Ingresos y Egresos'!$O$38+'A) Resumen Ingresos y Egresos'!$N$44+'A) Resumen Ingresos y Egresos'!$O$44)/12</f>
        <v>18379200</v>
      </c>
      <c r="G31" s="460">
        <f>+('A) Resumen Ingresos y Egresos'!$N$38+'A) Resumen Ingresos y Egresos'!$O$38+'A) Resumen Ingresos y Egresos'!$N$44+'A) Resumen Ingresos y Egresos'!$O$44)/12</f>
        <v>18379200</v>
      </c>
      <c r="H31" s="460">
        <f>+('A) Resumen Ingresos y Egresos'!$N$38+'A) Resumen Ingresos y Egresos'!$O$38+'A) Resumen Ingresos y Egresos'!$N$44+'A) Resumen Ingresos y Egresos'!$O$44)/12</f>
        <v>18379200</v>
      </c>
      <c r="I31" s="460">
        <f>+('A) Resumen Ingresos y Egresos'!$N$38+'A) Resumen Ingresos y Egresos'!$O$38+'A) Resumen Ingresos y Egresos'!$N$44+'A) Resumen Ingresos y Egresos'!$O$44)/12</f>
        <v>18379200</v>
      </c>
      <c r="J31" s="460">
        <f>+('A) Resumen Ingresos y Egresos'!$N$38+'A) Resumen Ingresos y Egresos'!$O$38+'A) Resumen Ingresos y Egresos'!$N$44+'A) Resumen Ingresos y Egresos'!$O$44)/12</f>
        <v>18379200</v>
      </c>
      <c r="K31" s="460">
        <f>+('A) Resumen Ingresos y Egresos'!$N$38+'A) Resumen Ingresos y Egresos'!$O$38+'A) Resumen Ingresos y Egresos'!$N$44+'A) Resumen Ingresos y Egresos'!$O$44)/12</f>
        <v>18379200</v>
      </c>
      <c r="L31" s="460">
        <f>+('A) Resumen Ingresos y Egresos'!$N$38+'A) Resumen Ingresos y Egresos'!$O$38+'A) Resumen Ingresos y Egresos'!$N$44+'A) Resumen Ingresos y Egresos'!$O$44)/12</f>
        <v>18379200</v>
      </c>
      <c r="M31" s="460">
        <f>+('A) Resumen Ingresos y Egresos'!$N$38+'A) Resumen Ingresos y Egresos'!$O$38+'A) Resumen Ingresos y Egresos'!$N$44+'A) Resumen Ingresos y Egresos'!$O$44)/12</f>
        <v>18379200</v>
      </c>
      <c r="N31" s="461">
        <f>SUM(B31:M31)</f>
        <v>220550400</v>
      </c>
    </row>
    <row r="32" spans="1:14" x14ac:dyDescent="0.25">
      <c r="A32" s="459" t="s">
        <v>243</v>
      </c>
      <c r="B32" s="460">
        <f>SUM('F) Remuneraciones'!$L$29)/12</f>
        <v>5958887.171875</v>
      </c>
      <c r="C32" s="460">
        <f>SUM('F) Remuneraciones'!$L$29)/12</f>
        <v>5958887.171875</v>
      </c>
      <c r="D32" s="460">
        <f>SUM('F) Remuneraciones'!$L$29)/12</f>
        <v>5958887.171875</v>
      </c>
      <c r="E32" s="460">
        <f>SUM('F) Remuneraciones'!$L$29)/12</f>
        <v>5958887.171875</v>
      </c>
      <c r="F32" s="460">
        <f>SUM('F) Remuneraciones'!$L$29)/12</f>
        <v>5958887.171875</v>
      </c>
      <c r="G32" s="460">
        <f>SUM('F) Remuneraciones'!$L$29)/12</f>
        <v>5958887.171875</v>
      </c>
      <c r="H32" s="460">
        <f>SUM('F) Remuneraciones'!$L$29)/12</f>
        <v>5958887.171875</v>
      </c>
      <c r="I32" s="460">
        <f>SUM('F) Remuneraciones'!$L$29)/12</f>
        <v>5958887.171875</v>
      </c>
      <c r="J32" s="460">
        <f>SUM('F) Remuneraciones'!$L$29)/12</f>
        <v>5958887.171875</v>
      </c>
      <c r="K32" s="460">
        <f>SUM('F) Remuneraciones'!$L$29)/12</f>
        <v>5958887.171875</v>
      </c>
      <c r="L32" s="460">
        <f>SUM('F) Remuneraciones'!$L$29)/12</f>
        <v>5958887.171875</v>
      </c>
      <c r="M32" s="460">
        <f>SUM('F) Remuneraciones'!$L$29)/12</f>
        <v>5958887.171875</v>
      </c>
      <c r="N32" s="461">
        <f>SUM(B32:M32)</f>
        <v>71506646.0625</v>
      </c>
    </row>
    <row r="33" spans="1:16" x14ac:dyDescent="0.25">
      <c r="A33" s="459" t="s">
        <v>244</v>
      </c>
      <c r="B33" s="460">
        <f>+('C) Costos Directos'!$H$207-'C) Costos Directos'!$D$146)/12</f>
        <v>5466952.8480535718</v>
      </c>
      <c r="C33" s="460">
        <f>+('C) Costos Directos'!$H$207-'C) Costos Directos'!$D$146)/12</f>
        <v>5466952.8480535718</v>
      </c>
      <c r="D33" s="460">
        <f>+('C) Costos Directos'!$H$207-'C) Costos Directos'!$D$146)/12</f>
        <v>5466952.8480535718</v>
      </c>
      <c r="E33" s="460">
        <f>+('C) Costos Directos'!$H$207-'C) Costos Directos'!$D$146)/12</f>
        <v>5466952.8480535718</v>
      </c>
      <c r="F33" s="460">
        <f>+('C) Costos Directos'!$H$207-'C) Costos Directos'!$D$146)/12</f>
        <v>5466952.8480535718</v>
      </c>
      <c r="G33" s="460">
        <f>+('C) Costos Directos'!$H$207-'C) Costos Directos'!$D$146)/12</f>
        <v>5466952.8480535718</v>
      </c>
      <c r="H33" s="460">
        <f>+('C) Costos Directos'!$H$207-'C) Costos Directos'!$D$146)/12</f>
        <v>5466952.8480535718</v>
      </c>
      <c r="I33" s="460">
        <f>+('C) Costos Directos'!$H$207-'C) Costos Directos'!$D$146)/12</f>
        <v>5466952.8480535718</v>
      </c>
      <c r="J33" s="460">
        <f>+('C) Costos Directos'!$H$207-'C) Costos Directos'!$D$146)/12</f>
        <v>5466952.8480535718</v>
      </c>
      <c r="K33" s="460">
        <f>+('C) Costos Directos'!$H$207-'C) Costos Directos'!$D$146)/12</f>
        <v>5466952.8480535718</v>
      </c>
      <c r="L33" s="460">
        <f>+('C) Costos Directos'!$H$207-'C) Costos Directos'!$D$146)/12</f>
        <v>5466952.8480535718</v>
      </c>
      <c r="M33" s="460">
        <f>+('C) Costos Directos'!$H$207-'C) Costos Directos'!$D$146)/12</f>
        <v>5466952.8480535718</v>
      </c>
      <c r="N33" s="461">
        <f>SUM(B33:M33)</f>
        <v>65603434.176642872</v>
      </c>
    </row>
    <row r="34" spans="1:16" x14ac:dyDescent="0.25">
      <c r="A34" s="462" t="s">
        <v>250</v>
      </c>
      <c r="B34" s="463">
        <f t="shared" ref="B34:N34" si="2">+B31-B32-B33</f>
        <v>6953359.9800714282</v>
      </c>
      <c r="C34" s="463">
        <f t="shared" si="2"/>
        <v>6953359.9800714282</v>
      </c>
      <c r="D34" s="463">
        <f t="shared" si="2"/>
        <v>6953359.9800714282</v>
      </c>
      <c r="E34" s="463">
        <f t="shared" si="2"/>
        <v>6953359.9800714282</v>
      </c>
      <c r="F34" s="463">
        <f t="shared" si="2"/>
        <v>6953359.9800714282</v>
      </c>
      <c r="G34" s="463">
        <f t="shared" si="2"/>
        <v>6953359.9800714282</v>
      </c>
      <c r="H34" s="463">
        <f t="shared" si="2"/>
        <v>6953359.9800714282</v>
      </c>
      <c r="I34" s="463">
        <f t="shared" si="2"/>
        <v>6953359.9800714282</v>
      </c>
      <c r="J34" s="463">
        <f t="shared" si="2"/>
        <v>6953359.9800714282</v>
      </c>
      <c r="K34" s="463">
        <f t="shared" si="2"/>
        <v>6953359.9800714282</v>
      </c>
      <c r="L34" s="463">
        <f t="shared" si="2"/>
        <v>6953359.9800714282</v>
      </c>
      <c r="M34" s="463">
        <f t="shared" si="2"/>
        <v>6953359.9800714282</v>
      </c>
      <c r="N34" s="463">
        <f t="shared" si="2"/>
        <v>83440319.760857135</v>
      </c>
    </row>
    <row r="37" spans="1:16" x14ac:dyDescent="0.25">
      <c r="A37" s="453" t="s">
        <v>253</v>
      </c>
      <c r="B37" s="454" t="s">
        <v>230</v>
      </c>
      <c r="C37" s="454" t="s">
        <v>231</v>
      </c>
      <c r="D37" s="454" t="s">
        <v>232</v>
      </c>
      <c r="E37" s="454" t="s">
        <v>233</v>
      </c>
      <c r="F37" s="454" t="s">
        <v>234</v>
      </c>
      <c r="G37" s="454" t="s">
        <v>235</v>
      </c>
      <c r="H37" s="454" t="s">
        <v>236</v>
      </c>
      <c r="I37" s="454" t="s">
        <v>237</v>
      </c>
      <c r="J37" s="454" t="s">
        <v>238</v>
      </c>
      <c r="K37" s="454" t="s">
        <v>239</v>
      </c>
      <c r="L37" s="454" t="s">
        <v>240</v>
      </c>
      <c r="M37" s="454" t="s">
        <v>241</v>
      </c>
    </row>
    <row r="38" spans="1:16" x14ac:dyDescent="0.25">
      <c r="A38" s="455" t="s">
        <v>247</v>
      </c>
      <c r="B38" s="456">
        <f>+'B) Reajuste Tarifas y Ocupación'!$H$35</f>
        <v>22</v>
      </c>
      <c r="C38" s="456">
        <f>+'B) Reajuste Tarifas y Ocupación'!$H$35</f>
        <v>22</v>
      </c>
      <c r="D38" s="456">
        <f>+'B) Reajuste Tarifas y Ocupación'!$H$35</f>
        <v>22</v>
      </c>
      <c r="E38" s="456">
        <f>+'B) Reajuste Tarifas y Ocupación'!$H$35</f>
        <v>22</v>
      </c>
      <c r="F38" s="456">
        <f>+'B) Reajuste Tarifas y Ocupación'!$H$35</f>
        <v>22</v>
      </c>
      <c r="G38" s="456">
        <f>+'B) Reajuste Tarifas y Ocupación'!$H$35</f>
        <v>22</v>
      </c>
      <c r="H38" s="456">
        <f>+'B) Reajuste Tarifas y Ocupación'!$H$35</f>
        <v>22</v>
      </c>
      <c r="I38" s="456">
        <f>+'B) Reajuste Tarifas y Ocupación'!$H$35</f>
        <v>22</v>
      </c>
      <c r="J38" s="456">
        <f>+'B) Reajuste Tarifas y Ocupación'!$H$35</f>
        <v>22</v>
      </c>
      <c r="K38" s="456">
        <f>+'B) Reajuste Tarifas y Ocupación'!$H$35</f>
        <v>22</v>
      </c>
      <c r="L38" s="456">
        <f>+'B) Reajuste Tarifas y Ocupación'!$H$35</f>
        <v>22</v>
      </c>
      <c r="M38" s="456">
        <f>+'B) Reajuste Tarifas y Ocupación'!$H$35</f>
        <v>22</v>
      </c>
    </row>
    <row r="39" spans="1:16" x14ac:dyDescent="0.25">
      <c r="A39" s="455" t="s">
        <v>248</v>
      </c>
      <c r="B39" s="456">
        <f>+COUNTA('F) Remuneraciones'!$C$44:$C$58)</f>
        <v>7</v>
      </c>
      <c r="C39" s="456">
        <f>+COUNTA('F) Remuneraciones'!$C$44:$C$58)</f>
        <v>7</v>
      </c>
      <c r="D39" s="456">
        <f>+COUNTA('F) Remuneraciones'!$C$44:$C$58)</f>
        <v>7</v>
      </c>
      <c r="E39" s="456">
        <f>+COUNTA('F) Remuneraciones'!$C$44:$C$58)</f>
        <v>7</v>
      </c>
      <c r="F39" s="456">
        <f>+COUNTA('F) Remuneraciones'!$C$44:$C$58)</f>
        <v>7</v>
      </c>
      <c r="G39" s="456">
        <f>+COUNTA('F) Remuneraciones'!$C$44:$C$58)</f>
        <v>7</v>
      </c>
      <c r="H39" s="456">
        <f>+COUNTA('F) Remuneraciones'!$C$44:$C$58)</f>
        <v>7</v>
      </c>
      <c r="I39" s="456">
        <f>+COUNTA('F) Remuneraciones'!$C$44:$C$58)</f>
        <v>7</v>
      </c>
      <c r="J39" s="456">
        <f>+COUNTA('F) Remuneraciones'!$C$44:$C$58)</f>
        <v>7</v>
      </c>
      <c r="K39" s="456">
        <f>+COUNTA('F) Remuneraciones'!$C$44:$C$58)</f>
        <v>7</v>
      </c>
      <c r="L39" s="456">
        <f>+COUNTA('F) Remuneraciones'!$C$44:$C$58)</f>
        <v>7</v>
      </c>
      <c r="M39" s="456">
        <f>+COUNTA('F) Remuneraciones'!$C$44:$C$58)</f>
        <v>7</v>
      </c>
    </row>
    <row r="40" spans="1:16" x14ac:dyDescent="0.25">
      <c r="A40" s="455"/>
      <c r="B40" s="457"/>
      <c r="C40" s="457"/>
      <c r="D40" s="457"/>
      <c r="E40" s="457"/>
      <c r="F40" s="457"/>
      <c r="G40" s="457"/>
      <c r="H40" s="457"/>
      <c r="I40" s="457"/>
      <c r="J40" s="457"/>
      <c r="K40" s="457"/>
      <c r="L40" s="457"/>
      <c r="M40" s="457"/>
      <c r="P40" s="460"/>
    </row>
    <row r="41" spans="1:16" ht="30" x14ac:dyDescent="0.25">
      <c r="A41" s="458" t="s">
        <v>255</v>
      </c>
      <c r="B41" s="454" t="s">
        <v>230</v>
      </c>
      <c r="C41" s="454" t="s">
        <v>231</v>
      </c>
      <c r="D41" s="454" t="s">
        <v>232</v>
      </c>
      <c r="E41" s="454" t="s">
        <v>233</v>
      </c>
      <c r="F41" s="454" t="s">
        <v>234</v>
      </c>
      <c r="G41" s="454" t="s">
        <v>235</v>
      </c>
      <c r="H41" s="454" t="s">
        <v>236</v>
      </c>
      <c r="I41" s="454" t="s">
        <v>237</v>
      </c>
      <c r="J41" s="454" t="s">
        <v>238</v>
      </c>
      <c r="K41" s="454" t="s">
        <v>239</v>
      </c>
      <c r="L41" s="454" t="s">
        <v>240</v>
      </c>
      <c r="M41" s="454" t="s">
        <v>241</v>
      </c>
      <c r="N41" s="454" t="s">
        <v>249</v>
      </c>
    </row>
    <row r="42" spans="1:16" x14ac:dyDescent="0.25">
      <c r="A42" s="459" t="s">
        <v>242</v>
      </c>
      <c r="B42" s="460">
        <f>+'A) Resumen Ingresos y Egresos'!$O$41/12</f>
        <v>7766000</v>
      </c>
      <c r="C42" s="460">
        <f>+'A) Resumen Ingresos y Egresos'!$O$41/12</f>
        <v>7766000</v>
      </c>
      <c r="D42" s="460">
        <f>+'A) Resumen Ingresos y Egresos'!$O$41/12</f>
        <v>7766000</v>
      </c>
      <c r="E42" s="460">
        <f>+'A) Resumen Ingresos y Egresos'!$O$41/12</f>
        <v>7766000</v>
      </c>
      <c r="F42" s="460">
        <f>+'A) Resumen Ingresos y Egresos'!$O$41/12</f>
        <v>7766000</v>
      </c>
      <c r="G42" s="460">
        <f>+'A) Resumen Ingresos y Egresos'!$O$41/12</f>
        <v>7766000</v>
      </c>
      <c r="H42" s="460">
        <f>+'A) Resumen Ingresos y Egresos'!$O$41/12</f>
        <v>7766000</v>
      </c>
      <c r="I42" s="460">
        <f>+'A) Resumen Ingresos y Egresos'!$O$41/12</f>
        <v>7766000</v>
      </c>
      <c r="J42" s="460">
        <f>+'A) Resumen Ingresos y Egresos'!$O$41/12</f>
        <v>7766000</v>
      </c>
      <c r="K42" s="460">
        <f>+'A) Resumen Ingresos y Egresos'!$O$41/12</f>
        <v>7766000</v>
      </c>
      <c r="L42" s="460">
        <f>+'A) Resumen Ingresos y Egresos'!$O$41/12</f>
        <v>7766000</v>
      </c>
      <c r="M42" s="460">
        <f>+'A) Resumen Ingresos y Egresos'!$O$41/12</f>
        <v>7766000</v>
      </c>
      <c r="N42" s="461">
        <f>SUM(B42:M42)</f>
        <v>93192000</v>
      </c>
    </row>
    <row r="43" spans="1:16" x14ac:dyDescent="0.25">
      <c r="A43" s="459" t="s">
        <v>243</v>
      </c>
      <c r="B43" s="460">
        <f>SUM('F) Remuneraciones'!$L$44)/12</f>
        <v>3696165.8272916661</v>
      </c>
      <c r="C43" s="460">
        <f>SUM('F) Remuneraciones'!$L$44)/12</f>
        <v>3696165.8272916661</v>
      </c>
      <c r="D43" s="460">
        <f>SUM('F) Remuneraciones'!$L$44)/12</f>
        <v>3696165.8272916661</v>
      </c>
      <c r="E43" s="460">
        <f>SUM('F) Remuneraciones'!$L$44)/12</f>
        <v>3696165.8272916661</v>
      </c>
      <c r="F43" s="460">
        <f>SUM('F) Remuneraciones'!$L$44)/12</f>
        <v>3696165.8272916661</v>
      </c>
      <c r="G43" s="460">
        <f>SUM('F) Remuneraciones'!$L$44)/12</f>
        <v>3696165.8272916661</v>
      </c>
      <c r="H43" s="460">
        <f>SUM('F) Remuneraciones'!$L$44)/12</f>
        <v>3696165.8272916661</v>
      </c>
      <c r="I43" s="460">
        <f>SUM('F) Remuneraciones'!$L$44)/12</f>
        <v>3696165.8272916661</v>
      </c>
      <c r="J43" s="460">
        <f>SUM('F) Remuneraciones'!$L$44)/12</f>
        <v>3696165.8272916661</v>
      </c>
      <c r="K43" s="460">
        <f>SUM('F) Remuneraciones'!$L$44)/12</f>
        <v>3696165.8272916661</v>
      </c>
      <c r="L43" s="460">
        <f>SUM('F) Remuneraciones'!$L$44)/12</f>
        <v>3696165.8272916661</v>
      </c>
      <c r="M43" s="460">
        <f>SUM('F) Remuneraciones'!$L$44)/12</f>
        <v>3696165.8272916661</v>
      </c>
      <c r="N43" s="461">
        <f>SUM(B43:M43)</f>
        <v>44353989.927500002</v>
      </c>
    </row>
    <row r="44" spans="1:16" x14ac:dyDescent="0.25">
      <c r="A44" s="459" t="s">
        <v>244</v>
      </c>
      <c r="B44" s="460">
        <f>+('C) Costos Directos'!$H$273-'C) Costos Directos'!$D$212)/12</f>
        <v>2424550.9493511901</v>
      </c>
      <c r="C44" s="460">
        <f>+('C) Costos Directos'!$H$273-'C) Costos Directos'!$D$212)/12</f>
        <v>2424550.9493511901</v>
      </c>
      <c r="D44" s="460">
        <f>+('C) Costos Directos'!$H$273-'C) Costos Directos'!$D$212)/12</f>
        <v>2424550.9493511901</v>
      </c>
      <c r="E44" s="460">
        <f>+('C) Costos Directos'!$H$273-'C) Costos Directos'!$D$212)/12</f>
        <v>2424550.9493511901</v>
      </c>
      <c r="F44" s="460">
        <f>+('C) Costos Directos'!$H$273-'C) Costos Directos'!$D$212)/12</f>
        <v>2424550.9493511901</v>
      </c>
      <c r="G44" s="460">
        <f>+('C) Costos Directos'!$H$273-'C) Costos Directos'!$D$212)/12</f>
        <v>2424550.9493511901</v>
      </c>
      <c r="H44" s="460">
        <f>+('C) Costos Directos'!$H$273-'C) Costos Directos'!$D$212)/12</f>
        <v>2424550.9493511901</v>
      </c>
      <c r="I44" s="460">
        <f>+('C) Costos Directos'!$H$273-'C) Costos Directos'!$D$212)/12</f>
        <v>2424550.9493511901</v>
      </c>
      <c r="J44" s="460">
        <f>+('C) Costos Directos'!$H$273-'C) Costos Directos'!$D$212)/12</f>
        <v>2424550.9493511901</v>
      </c>
      <c r="K44" s="460">
        <f>+('C) Costos Directos'!$H$273-'C) Costos Directos'!$D$212)/12</f>
        <v>2424550.9493511901</v>
      </c>
      <c r="L44" s="460">
        <f>+('C) Costos Directos'!$H$273-'C) Costos Directos'!$D$212)/12</f>
        <v>2424550.9493511901</v>
      </c>
      <c r="M44" s="460">
        <f>+('C) Costos Directos'!$H$273-'C) Costos Directos'!$D$212)/12</f>
        <v>2424550.9493511901</v>
      </c>
      <c r="N44" s="461">
        <f>SUM(B44:M44)</f>
        <v>29094611.392214287</v>
      </c>
    </row>
    <row r="45" spans="1:16" x14ac:dyDescent="0.25">
      <c r="A45" s="462" t="s">
        <v>250</v>
      </c>
      <c r="B45" s="463">
        <f t="shared" ref="B45:N45" si="3">+B42-B43-B44</f>
        <v>1645283.2233571438</v>
      </c>
      <c r="C45" s="463">
        <f t="shared" si="3"/>
        <v>1645283.2233571438</v>
      </c>
      <c r="D45" s="463">
        <f t="shared" si="3"/>
        <v>1645283.2233571438</v>
      </c>
      <c r="E45" s="463">
        <f t="shared" si="3"/>
        <v>1645283.2233571438</v>
      </c>
      <c r="F45" s="463">
        <f t="shared" si="3"/>
        <v>1645283.2233571438</v>
      </c>
      <c r="G45" s="463">
        <f t="shared" si="3"/>
        <v>1645283.2233571438</v>
      </c>
      <c r="H45" s="463">
        <f t="shared" si="3"/>
        <v>1645283.2233571438</v>
      </c>
      <c r="I45" s="463">
        <f t="shared" si="3"/>
        <v>1645283.2233571438</v>
      </c>
      <c r="J45" s="463">
        <f t="shared" si="3"/>
        <v>1645283.2233571438</v>
      </c>
      <c r="K45" s="463">
        <f t="shared" si="3"/>
        <v>1645283.2233571438</v>
      </c>
      <c r="L45" s="463">
        <f t="shared" si="3"/>
        <v>1645283.2233571438</v>
      </c>
      <c r="M45" s="463">
        <f t="shared" si="3"/>
        <v>1645283.2233571438</v>
      </c>
      <c r="N45" s="463">
        <f t="shared" si="3"/>
        <v>19743398.680285711</v>
      </c>
    </row>
    <row r="49" spans="14:14" x14ac:dyDescent="0.25">
      <c r="N49" s="460"/>
    </row>
  </sheetData>
  <sheetProtection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CC00FF"/>
  </sheetPr>
  <dimension ref="B1:S56"/>
  <sheetViews>
    <sheetView showGridLines="0" zoomScale="80" zoomScaleNormal="80" workbookViewId="0">
      <selection activeCell="Q18" sqref="Q18"/>
    </sheetView>
  </sheetViews>
  <sheetFormatPr baseColWidth="10" defaultRowHeight="12.75" x14ac:dyDescent="0.2"/>
  <sheetData>
    <row r="1" spans="2:11" x14ac:dyDescent="0.2">
      <c r="H1" s="33"/>
    </row>
    <row r="2" spans="2:11" x14ac:dyDescent="0.2">
      <c r="H2" s="33" t="s">
        <v>84</v>
      </c>
    </row>
    <row r="5" spans="2:11" x14ac:dyDescent="0.2">
      <c r="B5" s="819" t="s">
        <v>162</v>
      </c>
      <c r="C5" s="819"/>
      <c r="D5" s="819"/>
      <c r="E5" s="819"/>
      <c r="F5" s="819"/>
    </row>
    <row r="7" spans="2:11" x14ac:dyDescent="0.2">
      <c r="C7" s="186" t="s">
        <v>147</v>
      </c>
      <c r="D7" s="186"/>
      <c r="E7" s="186"/>
      <c r="F7" s="186"/>
      <c r="G7" s="186"/>
      <c r="H7" s="186"/>
      <c r="I7" s="186"/>
      <c r="J7" s="186"/>
      <c r="K7" s="186"/>
    </row>
    <row r="9" spans="2:11" x14ac:dyDescent="0.2">
      <c r="C9" s="186" t="s">
        <v>148</v>
      </c>
      <c r="D9" s="186"/>
      <c r="E9" s="186"/>
      <c r="F9" s="186"/>
      <c r="G9" s="186"/>
      <c r="H9" s="186"/>
    </row>
    <row r="11" spans="2:11" x14ac:dyDescent="0.2">
      <c r="B11" s="819" t="s">
        <v>163</v>
      </c>
      <c r="C11" s="819"/>
      <c r="D11" s="819"/>
      <c r="E11" s="819"/>
      <c r="F11" s="819"/>
    </row>
    <row r="13" spans="2:11" x14ac:dyDescent="0.2">
      <c r="C13" s="187" t="s">
        <v>149</v>
      </c>
      <c r="D13" s="187"/>
      <c r="E13" s="187"/>
      <c r="F13" s="187"/>
      <c r="G13" s="187"/>
      <c r="H13" s="187"/>
    </row>
    <row r="15" spans="2:11" x14ac:dyDescent="0.2">
      <c r="C15" s="187" t="s">
        <v>150</v>
      </c>
      <c r="D15" s="187"/>
      <c r="E15" s="187"/>
      <c r="F15" s="187"/>
      <c r="G15" s="187"/>
      <c r="H15" s="187"/>
    </row>
    <row r="19" spans="2:16" x14ac:dyDescent="0.2">
      <c r="B19" s="819" t="s">
        <v>164</v>
      </c>
      <c r="C19" s="819"/>
      <c r="D19" s="819"/>
      <c r="E19" s="819"/>
      <c r="F19" s="819"/>
    </row>
    <row r="21" spans="2:16" x14ac:dyDescent="0.2">
      <c r="C21" s="187" t="s">
        <v>152</v>
      </c>
      <c r="D21" s="187"/>
      <c r="E21" s="187"/>
      <c r="F21" s="188"/>
      <c r="G21" s="188"/>
      <c r="H21" s="188"/>
    </row>
    <row r="22" spans="2:16" x14ac:dyDescent="0.2">
      <c r="C22" s="820"/>
      <c r="D22" s="820"/>
      <c r="E22" s="820"/>
      <c r="F22" s="820"/>
      <c r="G22" s="820"/>
      <c r="H22" s="820"/>
      <c r="I22" s="820"/>
      <c r="J22" s="820"/>
      <c r="K22" s="820"/>
    </row>
    <row r="24" spans="2:16" x14ac:dyDescent="0.2">
      <c r="B24" s="819" t="s">
        <v>165</v>
      </c>
      <c r="C24" s="819"/>
      <c r="D24" s="819"/>
      <c r="E24" s="819"/>
      <c r="F24" s="819"/>
    </row>
    <row r="26" spans="2:16" x14ac:dyDescent="0.2">
      <c r="C26" s="189" t="s">
        <v>153</v>
      </c>
      <c r="D26" s="189"/>
      <c r="E26" s="189"/>
      <c r="F26" s="189"/>
      <c r="G26" s="189"/>
      <c r="H26" s="189"/>
      <c r="I26" s="189"/>
      <c r="J26" s="189"/>
    </row>
    <row r="27" spans="2:16" ht="12.75" customHeight="1" x14ac:dyDescent="0.2">
      <c r="C27" s="821" t="s">
        <v>154</v>
      </c>
      <c r="D27" s="821"/>
      <c r="E27" s="821"/>
      <c r="F27" s="821"/>
      <c r="G27" s="821"/>
      <c r="H27" s="821"/>
      <c r="I27" s="821"/>
      <c r="J27" s="821"/>
      <c r="K27" s="821"/>
      <c r="L27" s="821"/>
      <c r="M27" s="821"/>
    </row>
    <row r="28" spans="2:16" ht="12.75" customHeight="1" x14ac:dyDescent="0.2">
      <c r="C28" s="821"/>
      <c r="D28" s="821"/>
      <c r="E28" s="821"/>
      <c r="F28" s="821"/>
      <c r="G28" s="821"/>
      <c r="H28" s="821"/>
      <c r="I28" s="821"/>
      <c r="J28" s="821"/>
      <c r="K28" s="821"/>
      <c r="L28" s="821"/>
      <c r="M28" s="821"/>
    </row>
    <row r="29" spans="2:16" ht="12.75" customHeight="1" x14ac:dyDescent="0.2">
      <c r="C29" s="189" t="s">
        <v>155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8"/>
    </row>
    <row r="30" spans="2:16" ht="12.75" customHeight="1" x14ac:dyDescent="0.2"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8"/>
    </row>
    <row r="31" spans="2:16" ht="12.75" customHeight="1" x14ac:dyDescent="0.2">
      <c r="C31" s="193" t="s">
        <v>156</v>
      </c>
      <c r="D31" s="190"/>
      <c r="E31" s="190"/>
      <c r="F31" s="192"/>
      <c r="G31" s="190"/>
      <c r="H31" s="190"/>
      <c r="I31" s="190"/>
      <c r="J31" s="190"/>
      <c r="K31" s="190"/>
      <c r="L31" s="190"/>
      <c r="M31" s="190"/>
      <c r="N31" s="188"/>
      <c r="O31" s="188"/>
      <c r="P31" s="188"/>
    </row>
    <row r="32" spans="2:16" ht="12.75" customHeight="1" x14ac:dyDescent="0.2">
      <c r="C32" s="191"/>
      <c r="D32" s="191"/>
      <c r="E32" s="191"/>
      <c r="F32" s="191"/>
      <c r="G32" s="191"/>
      <c r="H32" s="191"/>
      <c r="I32" s="190"/>
      <c r="J32" s="190"/>
      <c r="K32" s="190"/>
      <c r="L32" s="190"/>
      <c r="M32" s="190"/>
      <c r="N32" s="188"/>
    </row>
    <row r="33" spans="2:19" ht="12.75" customHeight="1" x14ac:dyDescent="0.2">
      <c r="C33" s="822" t="s">
        <v>157</v>
      </c>
      <c r="D33" s="822"/>
      <c r="E33" s="822"/>
      <c r="F33" s="822"/>
      <c r="G33" s="822"/>
      <c r="H33" s="822"/>
      <c r="I33" s="822"/>
      <c r="J33" s="822"/>
      <c r="K33" s="822"/>
      <c r="L33" s="822"/>
      <c r="M33" s="822"/>
      <c r="N33" s="188"/>
    </row>
    <row r="34" spans="2:19" ht="12.75" customHeight="1" x14ac:dyDescent="0.2">
      <c r="C34" s="148"/>
      <c r="D34" s="148"/>
      <c r="E34" s="148"/>
      <c r="F34" s="148"/>
      <c r="G34" s="148"/>
      <c r="H34" s="148"/>
      <c r="I34" s="189"/>
      <c r="J34" s="189"/>
      <c r="K34" s="189"/>
      <c r="L34" s="189"/>
      <c r="M34" s="189"/>
      <c r="N34" s="188"/>
    </row>
    <row r="35" spans="2:19" ht="12.75" customHeight="1" x14ac:dyDescent="0.2">
      <c r="C35" s="190" t="s">
        <v>158</v>
      </c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88"/>
    </row>
    <row r="36" spans="2:19" ht="12.75" customHeight="1" x14ac:dyDescent="0.2">
      <c r="C36" s="191"/>
      <c r="D36" s="191"/>
      <c r="E36" s="191"/>
      <c r="F36" s="191"/>
      <c r="G36" s="191"/>
      <c r="H36" s="191"/>
      <c r="I36" s="190"/>
      <c r="J36" s="190"/>
      <c r="K36" s="190"/>
      <c r="L36" s="190"/>
      <c r="M36" s="190"/>
      <c r="N36" s="188"/>
    </row>
    <row r="37" spans="2:19" ht="12.75" customHeight="1" x14ac:dyDescent="0.2"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</row>
    <row r="38" spans="2:19" ht="12.75" customHeight="1" x14ac:dyDescent="0.2"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</row>
    <row r="39" spans="2:19" ht="12.75" customHeight="1" x14ac:dyDescent="0.2">
      <c r="B39" s="193" t="s">
        <v>166</v>
      </c>
      <c r="C39" s="189"/>
      <c r="D39" s="104"/>
      <c r="E39" s="104"/>
      <c r="F39" s="104"/>
      <c r="G39" s="104"/>
      <c r="H39" s="104"/>
      <c r="I39" s="104"/>
      <c r="J39" s="104"/>
      <c r="K39" s="104"/>
      <c r="L39" s="104"/>
      <c r="M39" s="104"/>
    </row>
    <row r="40" spans="2:19" x14ac:dyDescent="0.2">
      <c r="O40" s="820"/>
      <c r="P40" s="820"/>
      <c r="Q40" s="820"/>
      <c r="R40" s="820"/>
      <c r="S40" s="820"/>
    </row>
    <row r="41" spans="2:19" x14ac:dyDescent="0.2">
      <c r="C41" s="823" t="s">
        <v>159</v>
      </c>
      <c r="D41" s="823"/>
      <c r="E41" s="823"/>
      <c r="F41" s="823"/>
    </row>
    <row r="42" spans="2:19" x14ac:dyDescent="0.2">
      <c r="C42" s="820"/>
      <c r="D42" s="820"/>
      <c r="E42" s="820"/>
      <c r="F42" s="820"/>
      <c r="G42" s="820"/>
      <c r="H42" s="820"/>
      <c r="I42" s="820"/>
      <c r="J42" s="820"/>
    </row>
    <row r="44" spans="2:19" x14ac:dyDescent="0.2">
      <c r="B44" s="819" t="s">
        <v>167</v>
      </c>
      <c r="C44" s="819"/>
      <c r="D44" s="819"/>
      <c r="E44" s="819"/>
      <c r="F44" s="819"/>
    </row>
    <row r="46" spans="2:19" x14ac:dyDescent="0.2">
      <c r="C46" s="194" t="s">
        <v>160</v>
      </c>
      <c r="D46" s="194"/>
      <c r="E46" s="194"/>
      <c r="F46" s="194"/>
      <c r="G46" s="194"/>
      <c r="H46" s="194"/>
      <c r="I46" s="194"/>
      <c r="J46" s="194"/>
      <c r="K46" s="195"/>
      <c r="L46" s="195"/>
      <c r="M46" s="195"/>
    </row>
    <row r="50" spans="2:13" x14ac:dyDescent="0.2">
      <c r="B50" s="819" t="s">
        <v>168</v>
      </c>
      <c r="C50" s="819"/>
      <c r="D50" s="819"/>
      <c r="E50" s="819"/>
      <c r="F50" s="819"/>
    </row>
    <row r="52" spans="2:13" x14ac:dyDescent="0.2">
      <c r="C52" s="189" t="s">
        <v>161</v>
      </c>
      <c r="D52" s="189"/>
      <c r="E52" s="189"/>
      <c r="F52" s="189"/>
      <c r="G52" s="188"/>
      <c r="H52" s="188"/>
      <c r="I52" s="188"/>
      <c r="J52" s="188"/>
      <c r="K52" s="188"/>
      <c r="L52" s="188"/>
      <c r="M52" s="188"/>
    </row>
    <row r="54" spans="2:13" x14ac:dyDescent="0.2">
      <c r="B54" s="188" t="s">
        <v>169</v>
      </c>
      <c r="C54" s="188"/>
    </row>
    <row r="56" spans="2:13" x14ac:dyDescent="0.2">
      <c r="B56" s="818" t="s">
        <v>245</v>
      </c>
      <c r="C56" s="818"/>
      <c r="D56" s="818"/>
    </row>
  </sheetData>
  <sheetProtection sheet="1" objects="1" scenarios="1"/>
  <mergeCells count="13">
    <mergeCell ref="C27:M28"/>
    <mergeCell ref="C33:M33"/>
    <mergeCell ref="C41:F41"/>
    <mergeCell ref="B56:D56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</mergeCells>
  <hyperlinks>
    <hyperlink ref="B5:F5" location="'A) Resumen Ingresos y Egresos'!Área_de_impresión" display="A) Resumen Ingresos y Egresos"/>
    <hyperlink ref="B11:F11" location="'B) Reajuste Tarifas y Ocupación'!A1" display="B) Reajuste Tarifas y Ocupación"/>
    <hyperlink ref="C7:F7" location="'A) Resumen Ingresos y Egresos'!A6" display="TABLA 1: RESUMEN DE INGRESOS Y EGRESOS DE CENTROS DE BENEFICIOS"/>
    <hyperlink ref="C9:F9" location="'A) Resumen Ingresos y Egresos'!A22" display="TABLA 2: DETALLE DE INGRESOS POR PRESTACIÓN Y SEGMENTO"/>
    <hyperlink ref="C13:F13" location="'B) Reajuste Tarifas y Ocupación'!A8" display="TABLA 3: REAJUSTE DE TARIFAS POR PRESTACIÓN Y SEGMENTO"/>
    <hyperlink ref="C15:H15" location="'B) Reajuste Tarifas y Ocupación'!A32" display="TABLA 4: METAS DE OCUPACIÓN POR PRESTACIÓN Y SEGMENTO"/>
    <hyperlink ref="B19:F19" location="'C) Costos Directos'!Área_de_impresión" display="C) Costos Directos"/>
    <hyperlink ref="C21:E21" location="'C) Costos Directos'!Área_de_impresión" display="TABLA 5: COSTOS DIRECTOS DE CENTROS DE BENEFICIOS"/>
    <hyperlink ref="C21:H21" location="'C) Costos Directos'!Área_de_impresión" display="TABLA 5: COSTOS DIRECTOS DE CENTROS DE BENEFICIOS"/>
    <hyperlink ref="C21" location="'C) Costos Directos'!A8" display="TABLA 5: COSTOS DIRECTOS DE CENTROS DE BENEFICIOS"/>
    <hyperlink ref="B24:F24" location="'D) Costos Indirectos'!A1" display="D) Costos Indirectos"/>
    <hyperlink ref="C26:J26" location="'D) Costos Indirectos'!A9" display="TABLA 6: REMUNERACIONES DEL PERSONAL LEY 18.712 ADMINISTRACION CENTRAL Y APOYO ADMINISTRATIVO ASISTENCIA EDUCACIONAL"/>
    <hyperlink ref="C27:M28" location="'D) Costos Indirectos'!M9" display="TABLA 7: DISTRIBUCION COSTOS REMUNERACIONES ADMINISTRACION CENTRAL Y APOYO ADMINISTRATIVO A. EDUCACIONAL"/>
    <hyperlink ref="C29:N29" location="'D) Costos Indirectos'!U9" display="TABLA 8: COSTOS DE OPERACION ADMINISTRACIÓN CENTRAL Y  APOYO ADMINISTRATIVO ASISTENCIA EDUCACIONAL"/>
    <hyperlink ref="C31:M31" location="'D) Costos Indirectos'!Z9" display="TABLA 9: RESUMEN DISTRIBUCION COSTOS REMUNERACIONES ADMINISTRACION CENTRAL Y APOYO ADMINISTRATIVO A. EDUCACIONAL"/>
    <hyperlink ref="C33:M33" location="'D) Costos Indirectos'!AG9" display="TABLA 10: RESUMEN DISTRIBUCION COSTOS OPERACIÓN ADMINISTRACION CENTRAL  Y APOYO ADMINISTRATIVO A. EDUCACIONAL"/>
    <hyperlink ref="C35:N35" location="'D) Costos Indirectos'!AN9" display="'D) Costos Indirectos'!AN9"/>
    <hyperlink ref="B39:C39" location="'E) Resumen Tarifado '!A1" display="E) Resumen Tarifado"/>
    <hyperlink ref="B44:F44" location="'F) Remuneraciones'!A1" display="F) Remuneraciones"/>
    <hyperlink ref="B50:F50" location="'G) Comparación Mercado'!A1" display="G) Comparación Mercado"/>
    <hyperlink ref="B54:C54" location="'H) Detalle Datos'!A1" display="H) Detalle Gastos"/>
    <hyperlink ref="C41:F41" location="'E) Resumen Tarifado '!A6" display="TABLA 12: RESUMEN DE TARIFADO"/>
    <hyperlink ref="C46:M46" location="'F) Remuneraciones'!B7" display="TABLA 13: REMUNERACIONES DEL PERSONAL LEY 18.712 DE CENTROS DE BENEFICIOS"/>
    <hyperlink ref="C52:M52" location="'G) Comparación Mercado'!A12" display="TABLA 14: COMPARACIÓN TARIFAS CON PRECIOS DE MERCADO"/>
    <hyperlink ref="B56:D56" location="'Proyección Mensual.'!A2" display="I) Proyección mensual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0.39997558519241921"/>
    <pageSetUpPr fitToPage="1"/>
  </sheetPr>
  <dimension ref="A1:IM46"/>
  <sheetViews>
    <sheetView showGridLines="0" tabSelected="1" zoomScale="90" zoomScaleNormal="90" workbookViewId="0">
      <selection activeCell="G15" sqref="G15"/>
    </sheetView>
  </sheetViews>
  <sheetFormatPr baseColWidth="10" defaultRowHeight="12.75" x14ac:dyDescent="0.2"/>
  <cols>
    <col min="1" max="1" width="37.140625" style="2" customWidth="1"/>
    <col min="2" max="2" width="21.42578125" style="2" customWidth="1"/>
    <col min="3" max="3" width="20.85546875" style="2" bestFit="1" customWidth="1"/>
    <col min="4" max="4" width="19.28515625" style="2" customWidth="1"/>
    <col min="5" max="6" width="18.85546875" style="2" customWidth="1"/>
    <col min="7" max="7" width="18" style="2" customWidth="1"/>
    <col min="8" max="8" width="18.28515625" style="2" customWidth="1"/>
    <col min="9" max="9" width="18.140625" style="2" bestFit="1" customWidth="1"/>
    <col min="10" max="10" width="18.7109375" style="2" bestFit="1" customWidth="1"/>
    <col min="11" max="11" width="18.7109375" style="2" customWidth="1"/>
    <col min="12" max="12" width="16.42578125" style="2" bestFit="1" customWidth="1"/>
    <col min="13" max="13" width="17.5703125" style="2" customWidth="1"/>
    <col min="14" max="14" width="17.28515625" style="2" customWidth="1"/>
    <col min="15" max="15" width="16.85546875" style="2" customWidth="1"/>
    <col min="16" max="16" width="14.85546875" style="2" customWidth="1"/>
    <col min="17" max="17" width="16.42578125" style="2" bestFit="1" customWidth="1"/>
    <col min="18" max="18" width="15.85546875" style="2" customWidth="1"/>
    <col min="19" max="16384" width="11.42578125" style="2"/>
  </cols>
  <sheetData>
    <row r="1" spans="1:247" s="4" customFormat="1" x14ac:dyDescent="0.2">
      <c r="A1" s="3"/>
      <c r="E1" s="33" t="s">
        <v>202</v>
      </c>
      <c r="F1" s="33"/>
      <c r="IL1" s="2"/>
      <c r="IM1" s="2"/>
    </row>
    <row r="2" spans="1:247" s="4" customFormat="1" x14ac:dyDescent="0.2">
      <c r="A2" s="5"/>
      <c r="E2" s="33" t="s">
        <v>195</v>
      </c>
      <c r="F2" s="33"/>
      <c r="IL2" s="2"/>
      <c r="IM2" s="2"/>
    </row>
    <row r="3" spans="1:247" s="4" customFormat="1" x14ac:dyDescent="0.2">
      <c r="A3" s="2"/>
      <c r="IL3" s="2"/>
      <c r="IM3" s="2"/>
    </row>
    <row r="4" spans="1:247" s="4" customFormat="1" ht="18.75" customHeight="1" x14ac:dyDescent="0.2">
      <c r="A4" s="2"/>
      <c r="B4" s="19"/>
      <c r="C4" s="843" t="s">
        <v>0</v>
      </c>
      <c r="D4" s="843"/>
      <c r="E4" s="844" t="s">
        <v>143</v>
      </c>
      <c r="F4" s="845"/>
      <c r="G4" s="846"/>
      <c r="L4" s="1"/>
      <c r="IC4" s="2"/>
      <c r="ID4" s="2"/>
      <c r="IE4" s="2"/>
      <c r="IF4" s="2"/>
      <c r="IG4" s="2"/>
      <c r="IH4" s="2"/>
    </row>
    <row r="5" spans="1:247" s="4" customFormat="1" x14ac:dyDescent="0.2">
      <c r="A5" s="2"/>
      <c r="B5" s="2"/>
      <c r="C5" s="2"/>
      <c r="D5" s="2"/>
      <c r="E5" s="2"/>
      <c r="F5" s="2"/>
      <c r="G5" s="6"/>
      <c r="H5" s="6"/>
      <c r="L5" s="1"/>
      <c r="IC5" s="2"/>
      <c r="ID5" s="2"/>
      <c r="IE5" s="2"/>
      <c r="IF5" s="2"/>
      <c r="IG5" s="2"/>
      <c r="IH5" s="2"/>
    </row>
    <row r="6" spans="1:247" s="4" customFormat="1" ht="15.75" x14ac:dyDescent="0.2">
      <c r="A6" s="828" t="s">
        <v>147</v>
      </c>
      <c r="B6" s="828"/>
      <c r="C6" s="828"/>
      <c r="D6" s="828"/>
      <c r="E6" s="2"/>
      <c r="F6" s="2"/>
      <c r="G6" s="6"/>
      <c r="H6" s="6"/>
      <c r="L6" s="1"/>
      <c r="IC6" s="2"/>
      <c r="ID6" s="2"/>
      <c r="IE6" s="2"/>
      <c r="IF6" s="2"/>
      <c r="IG6" s="2"/>
      <c r="IH6" s="2"/>
    </row>
    <row r="7" spans="1:247" x14ac:dyDescent="0.2">
      <c r="B7" s="4"/>
      <c r="C7" s="4"/>
      <c r="E7" s="42"/>
      <c r="F7" s="4"/>
      <c r="G7" s="4"/>
      <c r="H7" s="4"/>
      <c r="I7" s="4"/>
      <c r="M7" s="43"/>
    </row>
    <row r="8" spans="1:247" ht="39" customHeight="1" x14ac:dyDescent="0.2">
      <c r="A8" s="7" t="s">
        <v>114</v>
      </c>
      <c r="B8" s="50" t="str">
        <f>+N20</f>
        <v>Ingreso por Matrícula</v>
      </c>
      <c r="C8" s="51" t="str">
        <f>+O20</f>
        <v>Ingreso por Mensualidad</v>
      </c>
      <c r="D8" s="52" t="s">
        <v>126</v>
      </c>
      <c r="E8" s="53" t="s">
        <v>82</v>
      </c>
      <c r="F8" s="35" t="s">
        <v>79</v>
      </c>
      <c r="G8" s="36" t="s">
        <v>80</v>
      </c>
      <c r="H8" s="37" t="s">
        <v>107</v>
      </c>
      <c r="I8" s="8" t="s">
        <v>113</v>
      </c>
      <c r="L8" s="54" t="s">
        <v>112</v>
      </c>
      <c r="N8" s="85"/>
    </row>
    <row r="9" spans="1:247" x14ac:dyDescent="0.2">
      <c r="A9" s="49" t="str">
        <f>+'B) Reajuste Tarifas y Ocupación'!A12</f>
        <v>Jardín Infantil Tortuguita Marina</v>
      </c>
      <c r="B9" s="55">
        <f>N28</f>
        <v>2879000</v>
      </c>
      <c r="C9" s="63">
        <f>+O28</f>
        <v>28790000</v>
      </c>
      <c r="D9" s="65">
        <f>+P28</f>
        <v>0</v>
      </c>
      <c r="E9" s="57">
        <f>+B9+D9+C9</f>
        <v>31669000</v>
      </c>
      <c r="F9" s="38">
        <f>'C) Costos Directos'!H75</f>
        <v>44549039.454999998</v>
      </c>
      <c r="G9" s="39">
        <f>+IFERROR('D) Costos Indirectos'!$AP$15*(F9/$F$13),0)</f>
        <v>5938441.779110671</v>
      </c>
      <c r="H9" s="41">
        <f>+F9+G9</f>
        <v>50487481.234110668</v>
      </c>
      <c r="I9" s="64">
        <f>E9-H9</f>
        <v>-18818481.234110668</v>
      </c>
      <c r="L9" s="76">
        <f>+IFERROR(G9/$G$13,0)</f>
        <v>0.15191956979923682</v>
      </c>
      <c r="N9" s="86"/>
    </row>
    <row r="10" spans="1:247" x14ac:dyDescent="0.2">
      <c r="A10" s="49" t="str">
        <f>'B) Reajuste Tarifas y Ocupación'!A14</f>
        <v>Jardín Infantil Burbujitas de Mar</v>
      </c>
      <c r="B10" s="55">
        <f>+N35</f>
        <v>3387500</v>
      </c>
      <c r="C10" s="63">
        <f>+O35</f>
        <v>33875000</v>
      </c>
      <c r="D10" s="65">
        <f>+P35</f>
        <v>0</v>
      </c>
      <c r="E10" s="57">
        <f>+B10+D10+C10</f>
        <v>37262500</v>
      </c>
      <c r="F10" s="38">
        <f>'C) Costos Directos'!H141</f>
        <v>38133232.168619543</v>
      </c>
      <c r="G10" s="39">
        <f>+IFERROR('D) Costos Indirectos'!$AP$15*(F10/$F$13),0)</f>
        <v>5083206.7728733327</v>
      </c>
      <c r="H10" s="41">
        <f>+F10+G10</f>
        <v>43216438.941492878</v>
      </c>
      <c r="I10" s="64">
        <f>E10-H10</f>
        <v>-5953938.9414928779</v>
      </c>
      <c r="L10" s="76">
        <f>+IFERROR(G10/$G$13,0)</f>
        <v>0.13004060911263704</v>
      </c>
      <c r="N10" s="86"/>
    </row>
    <row r="11" spans="1:247" x14ac:dyDescent="0.2">
      <c r="A11" s="49" t="s">
        <v>213</v>
      </c>
      <c r="B11" s="56">
        <f>+N38+N44</f>
        <v>0</v>
      </c>
      <c r="C11" s="56">
        <f>+O38+O44</f>
        <v>220550400</v>
      </c>
      <c r="D11" s="285"/>
      <c r="E11" s="57">
        <f>+B11+D11+C11</f>
        <v>220550400</v>
      </c>
      <c r="F11" s="40">
        <f>'C) Costos Directos'!H207</f>
        <v>137110080.23914286</v>
      </c>
      <c r="G11" s="39">
        <f>+IFERROR('D) Costos Indirectos'!$AP$15*(F11/$F$13),0)</f>
        <v>18276942.416498221</v>
      </c>
      <c r="H11" s="41">
        <f>+F11+G11</f>
        <v>155387022.65564108</v>
      </c>
      <c r="I11" s="64">
        <f>E11-H11</f>
        <v>65163377.344358921</v>
      </c>
      <c r="L11" s="76">
        <f>+IFERROR(G11/$G$13,0)</f>
        <v>0.46756798036262898</v>
      </c>
      <c r="N11" s="77"/>
      <c r="O11" s="200"/>
    </row>
    <row r="12" spans="1:247" x14ac:dyDescent="0.2">
      <c r="A12" s="49" t="s">
        <v>214</v>
      </c>
      <c r="B12" s="83">
        <f>+N41</f>
        <v>0</v>
      </c>
      <c r="C12" s="83">
        <f>+O41</f>
        <v>93192000</v>
      </c>
      <c r="D12" s="286"/>
      <c r="E12" s="84">
        <f>+B12+D12+C12</f>
        <v>93192000</v>
      </c>
      <c r="F12" s="40">
        <f>'C) Costos Directos'!H273</f>
        <v>73448601.319714278</v>
      </c>
      <c r="G12" s="39">
        <f>+IFERROR('D) Costos Indirectos'!$AP$15*(F12/$F$13),0)</f>
        <v>9790788.9379931502</v>
      </c>
      <c r="H12" s="41">
        <f>+F12+G12</f>
        <v>83239390.257707432</v>
      </c>
      <c r="I12" s="64">
        <f>E12-H12</f>
        <v>9952609.7422925681</v>
      </c>
      <c r="L12" s="76">
        <f>+IFERROR(G12/$G$13,0)</f>
        <v>0.25047184072549722</v>
      </c>
      <c r="N12" s="77"/>
      <c r="O12" s="200"/>
    </row>
    <row r="13" spans="1:247" s="4" customFormat="1" ht="15" x14ac:dyDescent="0.2">
      <c r="A13" s="9" t="s">
        <v>1</v>
      </c>
      <c r="B13" s="67">
        <f t="shared" ref="B13:H13" si="0">SUM(B9:B12)</f>
        <v>6266500</v>
      </c>
      <c r="C13" s="67">
        <f t="shared" si="0"/>
        <v>376407400</v>
      </c>
      <c r="D13" s="67">
        <f t="shared" si="0"/>
        <v>0</v>
      </c>
      <c r="E13" s="68">
        <f>SUM(E9:E12)</f>
        <v>382673900</v>
      </c>
      <c r="F13" s="67">
        <f t="shared" si="0"/>
        <v>293240953.18247664</v>
      </c>
      <c r="G13" s="67">
        <f>+IFERROR('D) Costos Indirectos'!$AP$15*(F13/$F$13),0)</f>
        <v>39089379.906475373</v>
      </c>
      <c r="H13" s="67">
        <f t="shared" si="0"/>
        <v>332330333.08895206</v>
      </c>
      <c r="I13" s="67">
        <f>SUM(I9:I12)</f>
        <v>50343566.911047943</v>
      </c>
      <c r="L13" s="78">
        <f>SUM(L9:L12)</f>
        <v>1</v>
      </c>
      <c r="N13" s="43"/>
      <c r="O13" s="200"/>
      <c r="IB13" s="2"/>
      <c r="IC13" s="2"/>
      <c r="ID13" s="2"/>
      <c r="IE13" s="2"/>
      <c r="IF13" s="2"/>
      <c r="IG13" s="2"/>
      <c r="IH13" s="2"/>
    </row>
    <row r="14" spans="1:247" s="4" customFormat="1" ht="15.75" customHeight="1" x14ac:dyDescent="0.2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IB14" s="2"/>
      <c r="IC14" s="2"/>
      <c r="ID14" s="2"/>
      <c r="IE14" s="2"/>
      <c r="IF14" s="2"/>
      <c r="IG14" s="2"/>
      <c r="IH14" s="2"/>
    </row>
    <row r="15" spans="1:247" s="4" customFormat="1" ht="15.75" customHeight="1" x14ac:dyDescent="0.2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201"/>
      <c r="IB15" s="2"/>
      <c r="IC15" s="2"/>
      <c r="ID15" s="2"/>
      <c r="IE15" s="2"/>
      <c r="IF15" s="2"/>
      <c r="IG15" s="2"/>
      <c r="IH15" s="2"/>
    </row>
    <row r="16" spans="1:247" s="4" customFormat="1" ht="15.75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IB16" s="2"/>
      <c r="IC16" s="2"/>
      <c r="ID16" s="2"/>
      <c r="IE16" s="2"/>
      <c r="IF16" s="2"/>
      <c r="IG16" s="2"/>
      <c r="IH16" s="2"/>
    </row>
    <row r="17" spans="1:247" s="4" customFormat="1" ht="15.75" customHeight="1" x14ac:dyDescent="0.2">
      <c r="A17" s="10"/>
      <c r="B17" s="10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IB17" s="2"/>
      <c r="IC17" s="2"/>
      <c r="ID17" s="2"/>
      <c r="IE17" s="2"/>
      <c r="IF17" s="2"/>
      <c r="IG17" s="2"/>
      <c r="IH17" s="2"/>
    </row>
    <row r="18" spans="1:247" s="4" customFormat="1" ht="15.75" customHeight="1" x14ac:dyDescent="0.2">
      <c r="A18" s="828" t="s">
        <v>148</v>
      </c>
      <c r="B18" s="828"/>
      <c r="C18" s="828"/>
      <c r="D18" s="828"/>
      <c r="E18" s="11"/>
      <c r="F18" s="11"/>
      <c r="G18" s="11"/>
      <c r="H18" s="11"/>
      <c r="I18" s="11"/>
      <c r="J18" s="11"/>
      <c r="K18" s="11"/>
      <c r="L18" s="11"/>
      <c r="M18" s="11"/>
      <c r="N18" s="11"/>
      <c r="IB18" s="2"/>
      <c r="IC18" s="2"/>
      <c r="ID18" s="2"/>
      <c r="IE18" s="2"/>
      <c r="IF18" s="2"/>
      <c r="IG18" s="2"/>
      <c r="IH18" s="2"/>
    </row>
    <row r="19" spans="1:247" s="4" customFormat="1" ht="13.5" thickBot="1" x14ac:dyDescent="0.25">
      <c r="I19" s="12"/>
      <c r="J19" s="12"/>
      <c r="K19" s="12"/>
      <c r="L19" s="1"/>
      <c r="M19" s="1"/>
      <c r="O19" s="13"/>
      <c r="P19" s="13"/>
      <c r="IL19" s="2"/>
      <c r="IM19" s="2"/>
    </row>
    <row r="20" spans="1:247" s="14" customFormat="1" ht="15.75" customHeight="1" thickBot="1" x14ac:dyDescent="0.25">
      <c r="A20" s="829" t="s">
        <v>114</v>
      </c>
      <c r="B20" s="831" t="s">
        <v>5</v>
      </c>
      <c r="C20" s="847" t="s">
        <v>2</v>
      </c>
      <c r="D20" s="849" t="s">
        <v>258</v>
      </c>
      <c r="E20" s="850"/>
      <c r="F20" s="850"/>
      <c r="G20" s="850"/>
      <c r="H20" s="851"/>
      <c r="I20" s="858" t="s">
        <v>259</v>
      </c>
      <c r="J20" s="859"/>
      <c r="K20" s="859"/>
      <c r="L20" s="859"/>
      <c r="M20" s="860"/>
      <c r="N20" s="835" t="s">
        <v>89</v>
      </c>
      <c r="O20" s="837" t="s">
        <v>90</v>
      </c>
      <c r="P20" s="833" t="s">
        <v>126</v>
      </c>
      <c r="Q20" s="824" t="s">
        <v>106</v>
      </c>
    </row>
    <row r="21" spans="1:247" s="14" customFormat="1" ht="58.5" customHeight="1" thickBot="1" x14ac:dyDescent="0.25">
      <c r="A21" s="830"/>
      <c r="B21" s="832"/>
      <c r="C21" s="848"/>
      <c r="D21" s="586" t="s">
        <v>86</v>
      </c>
      <c r="E21" s="611" t="s">
        <v>136</v>
      </c>
      <c r="F21" s="611" t="s">
        <v>137</v>
      </c>
      <c r="G21" s="611" t="s">
        <v>87</v>
      </c>
      <c r="H21" s="587" t="s">
        <v>88</v>
      </c>
      <c r="I21" s="586" t="s">
        <v>86</v>
      </c>
      <c r="J21" s="611" t="s">
        <v>136</v>
      </c>
      <c r="K21" s="611" t="s">
        <v>137</v>
      </c>
      <c r="L21" s="611" t="s">
        <v>87</v>
      </c>
      <c r="M21" s="587" t="s">
        <v>88</v>
      </c>
      <c r="N21" s="836"/>
      <c r="O21" s="838"/>
      <c r="P21" s="834"/>
      <c r="Q21" s="825"/>
    </row>
    <row r="22" spans="1:247" ht="12.75" customHeight="1" x14ac:dyDescent="0.2">
      <c r="A22" s="861" t="str">
        <f>+'B) Reajuste Tarifas y Ocupación'!A12</f>
        <v>Jardín Infantil Tortuguita Marina</v>
      </c>
      <c r="B22" s="842" t="str">
        <f>+'B) Reajuste Tarifas y Ocupación'!B12</f>
        <v>Media jornada</v>
      </c>
      <c r="C22" s="617" t="s">
        <v>257</v>
      </c>
      <c r="D22" s="612">
        <f t="shared" ref="D22:F23" si="1">+I22</f>
        <v>98200</v>
      </c>
      <c r="E22" s="593">
        <f t="shared" si="1"/>
        <v>132500</v>
      </c>
      <c r="F22" s="593">
        <f t="shared" si="1"/>
        <v>137400</v>
      </c>
      <c r="G22" s="593">
        <f>+L22</f>
        <v>133900</v>
      </c>
      <c r="H22" s="613">
        <f>+M22</f>
        <v>170200</v>
      </c>
      <c r="I22" s="612">
        <f>+'B) Reajuste Tarifas y Ocupación'!M12</f>
        <v>98200</v>
      </c>
      <c r="J22" s="593">
        <f>+'B) Reajuste Tarifas y Ocupación'!N12</f>
        <v>132500</v>
      </c>
      <c r="K22" s="593">
        <f>+'B) Reajuste Tarifas y Ocupación'!O12</f>
        <v>137400</v>
      </c>
      <c r="L22" s="593">
        <f>+'B) Reajuste Tarifas y Ocupación'!P12</f>
        <v>133900</v>
      </c>
      <c r="M22" s="613">
        <f>+'B) Reajuste Tarifas y Ocupación'!Q12</f>
        <v>170200</v>
      </c>
      <c r="N22" s="606"/>
      <c r="O22" s="594"/>
      <c r="P22" s="626">
        <f>+'B) Reajuste Tarifas y Ocupación'!C12</f>
        <v>93900</v>
      </c>
      <c r="Q22" s="826"/>
    </row>
    <row r="23" spans="1:247" x14ac:dyDescent="0.2">
      <c r="A23" s="862"/>
      <c r="B23" s="841"/>
      <c r="C23" s="618" t="s">
        <v>7</v>
      </c>
      <c r="D23" s="614">
        <f t="shared" si="1"/>
        <v>9</v>
      </c>
      <c r="E23" s="590">
        <f t="shared" si="1"/>
        <v>0</v>
      </c>
      <c r="F23" s="590">
        <f t="shared" si="1"/>
        <v>0</v>
      </c>
      <c r="G23" s="590">
        <f>+L23</f>
        <v>0</v>
      </c>
      <c r="H23" s="438">
        <f>+M23</f>
        <v>0</v>
      </c>
      <c r="I23" s="614">
        <f>+'B) Reajuste Tarifas y Ocupación'!C27</f>
        <v>9</v>
      </c>
      <c r="J23" s="590">
        <f>+'B) Reajuste Tarifas y Ocupación'!D27</f>
        <v>0</v>
      </c>
      <c r="K23" s="590">
        <f>+'B) Reajuste Tarifas y Ocupación'!E27</f>
        <v>0</v>
      </c>
      <c r="L23" s="590">
        <f>+'B) Reajuste Tarifas y Ocupación'!F27</f>
        <v>0</v>
      </c>
      <c r="M23" s="438">
        <f>+'B) Reajuste Tarifas y Ocupación'!G27</f>
        <v>0</v>
      </c>
      <c r="N23" s="607"/>
      <c r="O23" s="589"/>
      <c r="P23" s="627">
        <v>0</v>
      </c>
      <c r="Q23" s="827"/>
    </row>
    <row r="24" spans="1:247" x14ac:dyDescent="0.2">
      <c r="A24" s="862"/>
      <c r="B24" s="841"/>
      <c r="C24" s="619" t="s">
        <v>9</v>
      </c>
      <c r="D24" s="615">
        <f>D23*D22</f>
        <v>883800</v>
      </c>
      <c r="E24" s="591">
        <f>E23*E22</f>
        <v>0</v>
      </c>
      <c r="F24" s="591">
        <f>F23*F22</f>
        <v>0</v>
      </c>
      <c r="G24" s="591">
        <f>G23*G22</f>
        <v>0</v>
      </c>
      <c r="H24" s="439">
        <f>H23*H22</f>
        <v>0</v>
      </c>
      <c r="I24" s="615">
        <f>I23*I22*10</f>
        <v>8838000</v>
      </c>
      <c r="J24" s="591">
        <f>J23*J22*10</f>
        <v>0</v>
      </c>
      <c r="K24" s="591">
        <f>K23*K22*10</f>
        <v>0</v>
      </c>
      <c r="L24" s="591">
        <f>L23*L22*10</f>
        <v>0</v>
      </c>
      <c r="M24" s="439">
        <f>M23*M22*10</f>
        <v>0</v>
      </c>
      <c r="N24" s="608">
        <f>SUM(D24:H24)</f>
        <v>883800</v>
      </c>
      <c r="O24" s="592">
        <f>SUM(I24:M24)</f>
        <v>8838000</v>
      </c>
      <c r="P24" s="602">
        <f>P23*P22</f>
        <v>0</v>
      </c>
      <c r="Q24" s="632">
        <f>N24+O24+P24</f>
        <v>9721800</v>
      </c>
    </row>
    <row r="25" spans="1:247" x14ac:dyDescent="0.2">
      <c r="A25" s="862"/>
      <c r="B25" s="841" t="str">
        <f>+'B) Reajuste Tarifas y Ocupación'!B13</f>
        <v xml:space="preserve">Doble Jornada </v>
      </c>
      <c r="C25" s="618" t="s">
        <v>257</v>
      </c>
      <c r="D25" s="620">
        <f t="shared" ref="D25:F26" si="2">+I25</f>
        <v>124700</v>
      </c>
      <c r="E25" s="588">
        <f t="shared" si="2"/>
        <v>168400</v>
      </c>
      <c r="F25" s="588">
        <f t="shared" si="2"/>
        <v>174600</v>
      </c>
      <c r="G25" s="588">
        <f>+L25</f>
        <v>187000</v>
      </c>
      <c r="H25" s="437">
        <f>+M25</f>
        <v>249100</v>
      </c>
      <c r="I25" s="428">
        <f>+'B) Reajuste Tarifas y Ocupación'!M13</f>
        <v>124700</v>
      </c>
      <c r="J25" s="552">
        <f>+'B) Reajuste Tarifas y Ocupación'!N13</f>
        <v>168400</v>
      </c>
      <c r="K25" s="552">
        <f>+'B) Reajuste Tarifas y Ocupación'!O13</f>
        <v>174600</v>
      </c>
      <c r="L25" s="552">
        <f>+'B) Reajuste Tarifas y Ocupación'!P13</f>
        <v>187000</v>
      </c>
      <c r="M25" s="442">
        <f>+'B) Reajuste Tarifas y Ocupación'!Q13</f>
        <v>249100</v>
      </c>
      <c r="N25" s="607"/>
      <c r="O25" s="589"/>
      <c r="P25" s="628">
        <f>+'B) Reajuste Tarifas y Ocupación'!C13</f>
        <v>119300</v>
      </c>
      <c r="Q25" s="827"/>
    </row>
    <row r="26" spans="1:247" x14ac:dyDescent="0.2">
      <c r="A26" s="862"/>
      <c r="B26" s="841"/>
      <c r="C26" s="618" t="s">
        <v>7</v>
      </c>
      <c r="D26" s="614">
        <f t="shared" si="2"/>
        <v>16</v>
      </c>
      <c r="E26" s="590">
        <f t="shared" si="2"/>
        <v>0</v>
      </c>
      <c r="F26" s="590">
        <f t="shared" si="2"/>
        <v>0</v>
      </c>
      <c r="G26" s="590">
        <f>+L26</f>
        <v>0</v>
      </c>
      <c r="H26" s="438">
        <f>+M26</f>
        <v>0</v>
      </c>
      <c r="I26" s="614">
        <f>+'B) Reajuste Tarifas y Ocupación'!C28</f>
        <v>16</v>
      </c>
      <c r="J26" s="590">
        <f>+'B) Reajuste Tarifas y Ocupación'!D28</f>
        <v>0</v>
      </c>
      <c r="K26" s="590">
        <f>+'B) Reajuste Tarifas y Ocupación'!E28</f>
        <v>0</v>
      </c>
      <c r="L26" s="590">
        <f>+'B) Reajuste Tarifas y Ocupación'!F28</f>
        <v>0</v>
      </c>
      <c r="M26" s="438">
        <f>+'B) Reajuste Tarifas y Ocupación'!G28</f>
        <v>0</v>
      </c>
      <c r="N26" s="607"/>
      <c r="O26" s="589"/>
      <c r="P26" s="627">
        <v>0</v>
      </c>
      <c r="Q26" s="827"/>
    </row>
    <row r="27" spans="1:247" x14ac:dyDescent="0.2">
      <c r="A27" s="862"/>
      <c r="B27" s="841"/>
      <c r="C27" s="619" t="s">
        <v>9</v>
      </c>
      <c r="D27" s="615">
        <f>D26*D25</f>
        <v>1995200</v>
      </c>
      <c r="E27" s="591">
        <f>E26*E25</f>
        <v>0</v>
      </c>
      <c r="F27" s="591">
        <f>F26*F25</f>
        <v>0</v>
      </c>
      <c r="G27" s="591">
        <f>G26*G25</f>
        <v>0</v>
      </c>
      <c r="H27" s="439">
        <f>H26*H25</f>
        <v>0</v>
      </c>
      <c r="I27" s="615">
        <f>I26*I25*10</f>
        <v>19952000</v>
      </c>
      <c r="J27" s="591">
        <f>J26*J25*10</f>
        <v>0</v>
      </c>
      <c r="K27" s="591">
        <f>K26*K25*10</f>
        <v>0</v>
      </c>
      <c r="L27" s="591">
        <f>L26*L25*10</f>
        <v>0</v>
      </c>
      <c r="M27" s="439">
        <f>M26*M25*10</f>
        <v>0</v>
      </c>
      <c r="N27" s="608">
        <f>SUM(D27:H27)</f>
        <v>1995200</v>
      </c>
      <c r="O27" s="592">
        <f>SUM(I27:M27)</f>
        <v>19952000</v>
      </c>
      <c r="P27" s="602">
        <f>P26*P25</f>
        <v>0</v>
      </c>
      <c r="Q27" s="632">
        <f>N27+O27+P27</f>
        <v>21947200</v>
      </c>
    </row>
    <row r="28" spans="1:247" ht="15.75" thickBot="1" x14ac:dyDescent="0.25">
      <c r="A28" s="863"/>
      <c r="B28" s="839" t="s">
        <v>10</v>
      </c>
      <c r="C28" s="840"/>
      <c r="D28" s="616">
        <f t="shared" ref="D28:Q28" si="3">+D24+D27</f>
        <v>2879000</v>
      </c>
      <c r="E28" s="595">
        <f t="shared" si="3"/>
        <v>0</v>
      </c>
      <c r="F28" s="595">
        <f t="shared" si="3"/>
        <v>0</v>
      </c>
      <c r="G28" s="595">
        <f t="shared" si="3"/>
        <v>0</v>
      </c>
      <c r="H28" s="596">
        <f t="shared" si="3"/>
        <v>0</v>
      </c>
      <c r="I28" s="616">
        <f t="shared" si="3"/>
        <v>28790000</v>
      </c>
      <c r="J28" s="595">
        <f t="shared" si="3"/>
        <v>0</v>
      </c>
      <c r="K28" s="595">
        <f t="shared" si="3"/>
        <v>0</v>
      </c>
      <c r="L28" s="595">
        <f t="shared" si="3"/>
        <v>0</v>
      </c>
      <c r="M28" s="596">
        <f t="shared" si="3"/>
        <v>0</v>
      </c>
      <c r="N28" s="609">
        <f t="shared" si="3"/>
        <v>2879000</v>
      </c>
      <c r="O28" s="595">
        <f t="shared" si="3"/>
        <v>28790000</v>
      </c>
      <c r="P28" s="603">
        <f t="shared" si="3"/>
        <v>0</v>
      </c>
      <c r="Q28" s="633">
        <f t="shared" si="3"/>
        <v>31669000</v>
      </c>
    </row>
    <row r="29" spans="1:247" x14ac:dyDescent="0.2">
      <c r="A29" s="852" t="str">
        <f>'B) Reajuste Tarifas y Ocupación'!A29:A30</f>
        <v>Jardín Infantil Burbujitas de Mar</v>
      </c>
      <c r="B29" s="842" t="str">
        <f>+'B) Reajuste Tarifas y Ocupación'!B21</f>
        <v>Media Jornada</v>
      </c>
      <c r="C29" s="617" t="s">
        <v>257</v>
      </c>
      <c r="D29" s="612">
        <f>'B) Reajuste Tarifas y Ocupación'!M14</f>
        <v>135500</v>
      </c>
      <c r="E29" s="593">
        <f>'B) Reajuste Tarifas y Ocupación'!N14</f>
        <v>182900</v>
      </c>
      <c r="F29" s="593">
        <f>'B) Reajuste Tarifas y Ocupación'!O14</f>
        <v>189700</v>
      </c>
      <c r="G29" s="593">
        <f>'B) Reajuste Tarifas y Ocupación'!P14</f>
        <v>169400</v>
      </c>
      <c r="H29" s="613">
        <f>'B) Reajuste Tarifas y Ocupación'!Q14</f>
        <v>203200</v>
      </c>
      <c r="I29" s="612">
        <f>D29</f>
        <v>135500</v>
      </c>
      <c r="J29" s="593">
        <f>E29</f>
        <v>182900</v>
      </c>
      <c r="K29" s="593">
        <f>F29</f>
        <v>189700</v>
      </c>
      <c r="L29" s="593">
        <f>G29</f>
        <v>169400</v>
      </c>
      <c r="M29" s="613">
        <f>H29</f>
        <v>203200</v>
      </c>
      <c r="N29" s="606"/>
      <c r="O29" s="594"/>
      <c r="P29" s="626">
        <f>+'B) Reajuste Tarifas y Ocupación'!C14</f>
        <v>129600</v>
      </c>
      <c r="Q29" s="826"/>
    </row>
    <row r="30" spans="1:247" x14ac:dyDescent="0.2">
      <c r="A30" s="853"/>
      <c r="B30" s="841"/>
      <c r="C30" s="618" t="s">
        <v>7</v>
      </c>
      <c r="D30" s="614">
        <f>+I30</f>
        <v>25</v>
      </c>
      <c r="E30" s="590">
        <f>+J30</f>
        <v>0</v>
      </c>
      <c r="F30" s="590">
        <f>+K30</f>
        <v>0</v>
      </c>
      <c r="G30" s="590">
        <f>+L30</f>
        <v>0</v>
      </c>
      <c r="H30" s="438">
        <f>+M30</f>
        <v>0</v>
      </c>
      <c r="I30" s="614">
        <f>+'B) Reajuste Tarifas y Ocupación'!C29</f>
        <v>25</v>
      </c>
      <c r="J30" s="590">
        <f>+'B) Reajuste Tarifas y Ocupación'!D29</f>
        <v>0</v>
      </c>
      <c r="K30" s="590">
        <f>+'B) Reajuste Tarifas y Ocupación'!E29</f>
        <v>0</v>
      </c>
      <c r="L30" s="590">
        <f>+'B) Reajuste Tarifas y Ocupación'!F29</f>
        <v>0</v>
      </c>
      <c r="M30" s="438">
        <f>+'B) Reajuste Tarifas y Ocupación'!G29</f>
        <v>0</v>
      </c>
      <c r="N30" s="607"/>
      <c r="O30" s="589"/>
      <c r="P30" s="627">
        <v>0</v>
      </c>
      <c r="Q30" s="827"/>
    </row>
    <row r="31" spans="1:247" x14ac:dyDescent="0.2">
      <c r="A31" s="853"/>
      <c r="B31" s="841"/>
      <c r="C31" s="619" t="s">
        <v>9</v>
      </c>
      <c r="D31" s="615">
        <f>D30*D29</f>
        <v>3387500</v>
      </c>
      <c r="E31" s="591">
        <f>E30*E29</f>
        <v>0</v>
      </c>
      <c r="F31" s="591">
        <f>F30*F29</f>
        <v>0</v>
      </c>
      <c r="G31" s="591">
        <f>G30*G29</f>
        <v>0</v>
      </c>
      <c r="H31" s="439">
        <f>H30*H29</f>
        <v>0</v>
      </c>
      <c r="I31" s="615">
        <f>I30*I29*10</f>
        <v>33875000</v>
      </c>
      <c r="J31" s="591">
        <f>J30*J29*10</f>
        <v>0</v>
      </c>
      <c r="K31" s="591">
        <f>K30*K29*10</f>
        <v>0</v>
      </c>
      <c r="L31" s="591">
        <f>L30*L29*10</f>
        <v>0</v>
      </c>
      <c r="M31" s="439">
        <f>M30*M29*10</f>
        <v>0</v>
      </c>
      <c r="N31" s="608">
        <f>SUM(D31:H31)</f>
        <v>3387500</v>
      </c>
      <c r="O31" s="592">
        <f>SUM(I31:M31)</f>
        <v>33875000</v>
      </c>
      <c r="P31" s="602">
        <f>P30*P29</f>
        <v>0</v>
      </c>
      <c r="Q31" s="632">
        <f>N31+O31+P31</f>
        <v>37262500</v>
      </c>
    </row>
    <row r="32" spans="1:247" x14ac:dyDescent="0.2">
      <c r="A32" s="853"/>
      <c r="B32" s="841" t="str">
        <f>'B) Reajuste Tarifas y Ocupación'!B30</f>
        <v>Jornada  Completa</v>
      </c>
      <c r="C32" s="618" t="s">
        <v>257</v>
      </c>
      <c r="D32" s="620">
        <f>'B) Reajuste Tarifas y Ocupación'!M15</f>
        <v>212500</v>
      </c>
      <c r="E32" s="588">
        <f>'B) Reajuste Tarifas y Ocupación'!N15</f>
        <v>286900</v>
      </c>
      <c r="F32" s="588">
        <f>'B) Reajuste Tarifas y Ocupación'!O15</f>
        <v>297500</v>
      </c>
      <c r="G32" s="588">
        <f>'B) Reajuste Tarifas y Ocupación'!P15</f>
        <v>265700</v>
      </c>
      <c r="H32" s="437">
        <f>'B) Reajuste Tarifas y Ocupación'!Q15</f>
        <v>318800</v>
      </c>
      <c r="I32" s="428">
        <f>D32</f>
        <v>212500</v>
      </c>
      <c r="J32" s="552">
        <f>E32</f>
        <v>286900</v>
      </c>
      <c r="K32" s="552">
        <f>F32</f>
        <v>297500</v>
      </c>
      <c r="L32" s="552">
        <f>G32</f>
        <v>265700</v>
      </c>
      <c r="M32" s="442">
        <f>H32</f>
        <v>318800</v>
      </c>
      <c r="N32" s="607"/>
      <c r="O32" s="589"/>
      <c r="P32" s="628">
        <f>+'B) Reajuste Tarifas y Ocupación'!C15</f>
        <v>203300</v>
      </c>
      <c r="Q32" s="827"/>
    </row>
    <row r="33" spans="1:17" x14ac:dyDescent="0.2">
      <c r="A33" s="853"/>
      <c r="B33" s="841"/>
      <c r="C33" s="618" t="s">
        <v>7</v>
      </c>
      <c r="D33" s="614">
        <f>+I33</f>
        <v>0</v>
      </c>
      <c r="E33" s="590">
        <f>+J33</f>
        <v>0</v>
      </c>
      <c r="F33" s="590">
        <f>+K33</f>
        <v>0</v>
      </c>
      <c r="G33" s="590">
        <f>+L33</f>
        <v>0</v>
      </c>
      <c r="H33" s="438">
        <f>+M33</f>
        <v>0</v>
      </c>
      <c r="I33" s="614">
        <f>+'B) Reajuste Tarifas y Ocupación'!C30</f>
        <v>0</v>
      </c>
      <c r="J33" s="590">
        <f>+'B) Reajuste Tarifas y Ocupación'!D30</f>
        <v>0</v>
      </c>
      <c r="K33" s="590">
        <f>+'B) Reajuste Tarifas y Ocupación'!E30</f>
        <v>0</v>
      </c>
      <c r="L33" s="590">
        <f>+'B) Reajuste Tarifas y Ocupación'!F30</f>
        <v>0</v>
      </c>
      <c r="M33" s="438">
        <f>+'B) Reajuste Tarifas y Ocupación'!G30</f>
        <v>0</v>
      </c>
      <c r="N33" s="607"/>
      <c r="O33" s="589"/>
      <c r="P33" s="627">
        <v>0</v>
      </c>
      <c r="Q33" s="827"/>
    </row>
    <row r="34" spans="1:17" x14ac:dyDescent="0.2">
      <c r="A34" s="853"/>
      <c r="B34" s="841"/>
      <c r="C34" s="619" t="s">
        <v>9</v>
      </c>
      <c r="D34" s="615">
        <f>D33*D32</f>
        <v>0</v>
      </c>
      <c r="E34" s="591">
        <f>E33*E32</f>
        <v>0</v>
      </c>
      <c r="F34" s="591">
        <f>F33*F32</f>
        <v>0</v>
      </c>
      <c r="G34" s="591">
        <f>G33*G32</f>
        <v>0</v>
      </c>
      <c r="H34" s="439">
        <f>H33*H32</f>
        <v>0</v>
      </c>
      <c r="I34" s="615">
        <f>I33*I32*10</f>
        <v>0</v>
      </c>
      <c r="J34" s="591">
        <f>J33*J32*10</f>
        <v>0</v>
      </c>
      <c r="K34" s="591">
        <f>K33*K32*10</f>
        <v>0</v>
      </c>
      <c r="L34" s="591">
        <f>L33*L32*10</f>
        <v>0</v>
      </c>
      <c r="M34" s="439">
        <f>M33*M32*10</f>
        <v>0</v>
      </c>
      <c r="N34" s="608">
        <f>SUM(D34:H34)</f>
        <v>0</v>
      </c>
      <c r="O34" s="592">
        <f>SUM(I34:M34)</f>
        <v>0</v>
      </c>
      <c r="P34" s="602">
        <f>P33*P32</f>
        <v>0</v>
      </c>
      <c r="Q34" s="632">
        <f>N34+O34+P34</f>
        <v>0</v>
      </c>
    </row>
    <row r="35" spans="1:17" ht="15.75" thickBot="1" x14ac:dyDescent="0.25">
      <c r="A35" s="854"/>
      <c r="B35" s="839" t="s">
        <v>10</v>
      </c>
      <c r="C35" s="840"/>
      <c r="D35" s="616">
        <f t="shared" ref="D35:Q35" si="4">+D31+D34</f>
        <v>3387500</v>
      </c>
      <c r="E35" s="595">
        <f t="shared" si="4"/>
        <v>0</v>
      </c>
      <c r="F35" s="595">
        <f t="shared" si="4"/>
        <v>0</v>
      </c>
      <c r="G35" s="595">
        <f t="shared" si="4"/>
        <v>0</v>
      </c>
      <c r="H35" s="596">
        <f t="shared" si="4"/>
        <v>0</v>
      </c>
      <c r="I35" s="616">
        <f t="shared" si="4"/>
        <v>33875000</v>
      </c>
      <c r="J35" s="595">
        <f t="shared" si="4"/>
        <v>0</v>
      </c>
      <c r="K35" s="595">
        <f t="shared" si="4"/>
        <v>0</v>
      </c>
      <c r="L35" s="595">
        <f t="shared" si="4"/>
        <v>0</v>
      </c>
      <c r="M35" s="596">
        <f t="shared" si="4"/>
        <v>0</v>
      </c>
      <c r="N35" s="609">
        <f t="shared" si="4"/>
        <v>3387500</v>
      </c>
      <c r="O35" s="595">
        <f t="shared" si="4"/>
        <v>33875000</v>
      </c>
      <c r="P35" s="603">
        <f t="shared" si="4"/>
        <v>0</v>
      </c>
      <c r="Q35" s="633">
        <f t="shared" si="4"/>
        <v>37262500</v>
      </c>
    </row>
    <row r="36" spans="1:17" x14ac:dyDescent="0.2">
      <c r="A36" s="861" t="str">
        <f>+'B) Reajuste Tarifas y Ocupación'!A19</f>
        <v>Sala Cuna Burbujitas de Mar</v>
      </c>
      <c r="B36" s="842" t="str">
        <f>+'B) Reajuste Tarifas y Ocupación'!B19</f>
        <v>Jornada Completa Diurna</v>
      </c>
      <c r="C36" s="617" t="s">
        <v>257</v>
      </c>
      <c r="D36" s="621"/>
      <c r="E36" s="593">
        <f t="shared" ref="E36:H37" si="5">+J36</f>
        <v>590800</v>
      </c>
      <c r="F36" s="593">
        <f t="shared" si="5"/>
        <v>612700</v>
      </c>
      <c r="G36" s="593">
        <f t="shared" si="5"/>
        <v>547000</v>
      </c>
      <c r="H36" s="613">
        <f t="shared" si="5"/>
        <v>656300</v>
      </c>
      <c r="I36" s="553">
        <f>+'B) Reajuste Tarifas y Ocupación'!M19</f>
        <v>437600</v>
      </c>
      <c r="J36" s="404">
        <f>+'B) Reajuste Tarifas y Ocupación'!N19</f>
        <v>590800</v>
      </c>
      <c r="K36" s="404">
        <f>+'B) Reajuste Tarifas y Ocupación'!O19</f>
        <v>612700</v>
      </c>
      <c r="L36" s="404">
        <f>+'B) Reajuste Tarifas y Ocupación'!P19</f>
        <v>547000</v>
      </c>
      <c r="M36" s="426">
        <f>+'B) Reajuste Tarifas y Ocupación'!Q19</f>
        <v>656300</v>
      </c>
      <c r="N36" s="606"/>
      <c r="O36" s="594"/>
      <c r="P36" s="629"/>
      <c r="Q36" s="826"/>
    </row>
    <row r="37" spans="1:17" x14ac:dyDescent="0.2">
      <c r="A37" s="862"/>
      <c r="B37" s="841"/>
      <c r="C37" s="618" t="s">
        <v>7</v>
      </c>
      <c r="D37" s="622">
        <v>0</v>
      </c>
      <c r="E37" s="588">
        <f t="shared" si="5"/>
        <v>0</v>
      </c>
      <c r="F37" s="588">
        <f t="shared" si="5"/>
        <v>0</v>
      </c>
      <c r="G37" s="588">
        <f t="shared" si="5"/>
        <v>0</v>
      </c>
      <c r="H37" s="437">
        <f t="shared" si="5"/>
        <v>0</v>
      </c>
      <c r="I37" s="614">
        <f>+'B) Reajuste Tarifas y Ocupación'!C34</f>
        <v>42</v>
      </c>
      <c r="J37" s="590">
        <f>+'B) Reajuste Tarifas y Ocupación'!D34</f>
        <v>0</v>
      </c>
      <c r="K37" s="590">
        <f>+'B) Reajuste Tarifas y Ocupación'!E34</f>
        <v>0</v>
      </c>
      <c r="L37" s="590">
        <f>+'B) Reajuste Tarifas y Ocupación'!F34</f>
        <v>0</v>
      </c>
      <c r="M37" s="438">
        <f>+'B) Reajuste Tarifas y Ocupación'!G34</f>
        <v>0</v>
      </c>
      <c r="N37" s="607"/>
      <c r="O37" s="589"/>
      <c r="P37" s="630"/>
      <c r="Q37" s="827"/>
    </row>
    <row r="38" spans="1:17" x14ac:dyDescent="0.2">
      <c r="A38" s="862"/>
      <c r="B38" s="841"/>
      <c r="C38" s="619" t="s">
        <v>9</v>
      </c>
      <c r="D38" s="623">
        <f>D37*D36</f>
        <v>0</v>
      </c>
      <c r="E38" s="599">
        <f>E37*E36</f>
        <v>0</v>
      </c>
      <c r="F38" s="599">
        <f>F37*F36</f>
        <v>0</v>
      </c>
      <c r="G38" s="591">
        <f>G37*G36</f>
        <v>0</v>
      </c>
      <c r="H38" s="439">
        <f>H37*H36</f>
        <v>0</v>
      </c>
      <c r="I38" s="615">
        <f>I37*I36*12</f>
        <v>220550400</v>
      </c>
      <c r="J38" s="591">
        <f>J37*J36*12</f>
        <v>0</v>
      </c>
      <c r="K38" s="591">
        <f>K37*K36*12</f>
        <v>0</v>
      </c>
      <c r="L38" s="591">
        <f>L37*L36*12</f>
        <v>0</v>
      </c>
      <c r="M38" s="439">
        <f>M37*M36*12</f>
        <v>0</v>
      </c>
      <c r="N38" s="608">
        <f>SUM(D38:H38)</f>
        <v>0</v>
      </c>
      <c r="O38" s="592">
        <f>SUM(I38:M38)</f>
        <v>220550400</v>
      </c>
      <c r="P38" s="604"/>
      <c r="Q38" s="632">
        <f>N38+O38+P38</f>
        <v>220550400</v>
      </c>
    </row>
    <row r="39" spans="1:17" x14ac:dyDescent="0.2">
      <c r="A39" s="862"/>
      <c r="B39" s="841" t="str">
        <f>+'B) Reajuste Tarifas y Ocupación'!B20</f>
        <v>Nocturna</v>
      </c>
      <c r="C39" s="618" t="s">
        <v>257</v>
      </c>
      <c r="D39" s="624"/>
      <c r="E39" s="597"/>
      <c r="F39" s="597"/>
      <c r="G39" s="597"/>
      <c r="H39" s="440"/>
      <c r="I39" s="428">
        <f>+'B) Reajuste Tarifas y Ocupación'!M20</f>
        <v>353000</v>
      </c>
      <c r="J39" s="597"/>
      <c r="K39" s="597"/>
      <c r="L39" s="597"/>
      <c r="M39" s="440"/>
      <c r="N39" s="607"/>
      <c r="O39" s="589"/>
      <c r="P39" s="631"/>
      <c r="Q39" s="827"/>
    </row>
    <row r="40" spans="1:17" x14ac:dyDescent="0.2">
      <c r="A40" s="862"/>
      <c r="B40" s="841"/>
      <c r="C40" s="618" t="s">
        <v>7</v>
      </c>
      <c r="D40" s="622"/>
      <c r="E40" s="598"/>
      <c r="F40" s="598"/>
      <c r="G40" s="598"/>
      <c r="H40" s="441"/>
      <c r="I40" s="614">
        <f>+'B) Reajuste Tarifas y Ocupación'!C35</f>
        <v>22</v>
      </c>
      <c r="J40" s="598"/>
      <c r="K40" s="598"/>
      <c r="L40" s="598"/>
      <c r="M40" s="441"/>
      <c r="N40" s="607"/>
      <c r="O40" s="589"/>
      <c r="P40" s="630"/>
      <c r="Q40" s="827"/>
    </row>
    <row r="41" spans="1:17" x14ac:dyDescent="0.2">
      <c r="A41" s="862"/>
      <c r="B41" s="841"/>
      <c r="C41" s="619" t="s">
        <v>9</v>
      </c>
      <c r="D41" s="623">
        <f>D40*D39</f>
        <v>0</v>
      </c>
      <c r="E41" s="599">
        <f>E40*E39</f>
        <v>0</v>
      </c>
      <c r="F41" s="599">
        <f>F40*F39</f>
        <v>0</v>
      </c>
      <c r="G41" s="599">
        <f>G40*G39</f>
        <v>0</v>
      </c>
      <c r="H41" s="625">
        <f>H40*H39</f>
        <v>0</v>
      </c>
      <c r="I41" s="615">
        <f>I40*I39*12</f>
        <v>93192000</v>
      </c>
      <c r="J41" s="591">
        <f>J40*J39*12</f>
        <v>0</v>
      </c>
      <c r="K41" s="591">
        <f>K40*K39*12</f>
        <v>0</v>
      </c>
      <c r="L41" s="591">
        <f>L40*L39*12</f>
        <v>0</v>
      </c>
      <c r="M41" s="439">
        <f>M40*M39*12</f>
        <v>0</v>
      </c>
      <c r="N41" s="608">
        <f>SUM(D41:H41)</f>
        <v>0</v>
      </c>
      <c r="O41" s="592">
        <f>SUM(I41:M41)</f>
        <v>93192000</v>
      </c>
      <c r="P41" s="604"/>
      <c r="Q41" s="632">
        <f>N41+O41+P41</f>
        <v>93192000</v>
      </c>
    </row>
    <row r="42" spans="1:17" x14ac:dyDescent="0.2">
      <c r="A42" s="862"/>
      <c r="B42" s="841" t="str">
        <f>+'B) Reajuste Tarifas y Ocupación'!B21</f>
        <v>Media Jornada</v>
      </c>
      <c r="C42" s="618" t="s">
        <v>257</v>
      </c>
      <c r="D42" s="624"/>
      <c r="E42" s="588">
        <f>J42</f>
        <v>354800</v>
      </c>
      <c r="F42" s="588">
        <f>K42</f>
        <v>368000</v>
      </c>
      <c r="G42" s="588">
        <f>L42</f>
        <v>394000</v>
      </c>
      <c r="H42" s="437">
        <f>M42</f>
        <v>525200</v>
      </c>
      <c r="I42" s="428">
        <f>+'B) Reajuste Tarifas y Ocupación'!M21</f>
        <v>262800</v>
      </c>
      <c r="J42" s="552">
        <f>+'B) Reajuste Tarifas y Ocupación'!N21</f>
        <v>354800</v>
      </c>
      <c r="K42" s="552">
        <f>+'B) Reajuste Tarifas y Ocupación'!O21</f>
        <v>368000</v>
      </c>
      <c r="L42" s="552">
        <f>+'B) Reajuste Tarifas y Ocupación'!P21</f>
        <v>394000</v>
      </c>
      <c r="M42" s="442">
        <f>+'B) Reajuste Tarifas y Ocupación'!Q21</f>
        <v>525200</v>
      </c>
      <c r="N42" s="607"/>
      <c r="O42" s="589"/>
      <c r="P42" s="631"/>
      <c r="Q42" s="827"/>
    </row>
    <row r="43" spans="1:17" x14ac:dyDescent="0.2">
      <c r="A43" s="862"/>
      <c r="B43" s="841"/>
      <c r="C43" s="618" t="s">
        <v>7</v>
      </c>
      <c r="D43" s="622"/>
      <c r="E43" s="588">
        <f>+J43</f>
        <v>0</v>
      </c>
      <c r="F43" s="588">
        <f>+K43</f>
        <v>0</v>
      </c>
      <c r="G43" s="588">
        <f>+L43</f>
        <v>0</v>
      </c>
      <c r="H43" s="437">
        <f>+M43</f>
        <v>0</v>
      </c>
      <c r="I43" s="614">
        <f>+'B) Reajuste Tarifas y Ocupación'!C36</f>
        <v>0</v>
      </c>
      <c r="J43" s="590">
        <f>+'B) Reajuste Tarifas y Ocupación'!D36</f>
        <v>0</v>
      </c>
      <c r="K43" s="590">
        <f>+'B) Reajuste Tarifas y Ocupación'!E36</f>
        <v>0</v>
      </c>
      <c r="L43" s="590">
        <f>+'B) Reajuste Tarifas y Ocupación'!F36</f>
        <v>0</v>
      </c>
      <c r="M43" s="438">
        <f>+'B) Reajuste Tarifas y Ocupación'!G36</f>
        <v>0</v>
      </c>
      <c r="N43" s="607"/>
      <c r="O43" s="589"/>
      <c r="P43" s="630"/>
      <c r="Q43" s="827"/>
    </row>
    <row r="44" spans="1:17" x14ac:dyDescent="0.2">
      <c r="A44" s="862"/>
      <c r="B44" s="841"/>
      <c r="C44" s="619" t="s">
        <v>9</v>
      </c>
      <c r="D44" s="623">
        <f>D43*D42</f>
        <v>0</v>
      </c>
      <c r="E44" s="599">
        <f>E43*E42</f>
        <v>0</v>
      </c>
      <c r="F44" s="599"/>
      <c r="G44" s="599">
        <f>G43*G42</f>
        <v>0</v>
      </c>
      <c r="H44" s="625">
        <f>H43*H42</f>
        <v>0</v>
      </c>
      <c r="I44" s="615">
        <f>I43*I42*12</f>
        <v>0</v>
      </c>
      <c r="J44" s="591">
        <f>J43*J42*12</f>
        <v>0</v>
      </c>
      <c r="K44" s="591">
        <f>K43*K42*12</f>
        <v>0</v>
      </c>
      <c r="L44" s="591">
        <f>L43*L42*12</f>
        <v>0</v>
      </c>
      <c r="M44" s="439">
        <f>M43*M42*12</f>
        <v>0</v>
      </c>
      <c r="N44" s="608">
        <f>SUM(D44:H44)</f>
        <v>0</v>
      </c>
      <c r="O44" s="592">
        <f>SUM(I44:M44)</f>
        <v>0</v>
      </c>
      <c r="P44" s="604"/>
      <c r="Q44" s="632">
        <f>N44+O44+P44</f>
        <v>0</v>
      </c>
    </row>
    <row r="45" spans="1:17" ht="15.75" thickBot="1" x14ac:dyDescent="0.25">
      <c r="A45" s="863"/>
      <c r="B45" s="839" t="s">
        <v>10</v>
      </c>
      <c r="C45" s="840"/>
      <c r="D45" s="616">
        <f>SUM(D38,D41,D44)</f>
        <v>0</v>
      </c>
      <c r="E45" s="595">
        <f>SUM(E38,E41,E44)</f>
        <v>0</v>
      </c>
      <c r="F45" s="595">
        <f t="shared" ref="F45:Q45" si="6">SUM(F38,F41,F44)</f>
        <v>0</v>
      </c>
      <c r="G45" s="595">
        <f t="shared" si="6"/>
        <v>0</v>
      </c>
      <c r="H45" s="596">
        <f t="shared" si="6"/>
        <v>0</v>
      </c>
      <c r="I45" s="616">
        <f t="shared" si="6"/>
        <v>313742400</v>
      </c>
      <c r="J45" s="595">
        <f t="shared" si="6"/>
        <v>0</v>
      </c>
      <c r="K45" s="595">
        <f t="shared" si="6"/>
        <v>0</v>
      </c>
      <c r="L45" s="595">
        <f t="shared" si="6"/>
        <v>0</v>
      </c>
      <c r="M45" s="596">
        <f t="shared" si="6"/>
        <v>0</v>
      </c>
      <c r="N45" s="609">
        <f>SUM(N38,N41,N44)</f>
        <v>0</v>
      </c>
      <c r="O45" s="595">
        <f>SUM(O38,O41,O44)</f>
        <v>313742400</v>
      </c>
      <c r="P45" s="603">
        <f>SUM(P38,P41,P44)</f>
        <v>0</v>
      </c>
      <c r="Q45" s="633">
        <f t="shared" si="6"/>
        <v>313742400</v>
      </c>
    </row>
    <row r="46" spans="1:17" ht="15" customHeight="1" thickBot="1" x14ac:dyDescent="0.25">
      <c r="A46" s="855" t="s">
        <v>8</v>
      </c>
      <c r="B46" s="856"/>
      <c r="C46" s="857"/>
      <c r="D46" s="231">
        <f t="shared" ref="D46:Q46" si="7">+D28+D45+D35</f>
        <v>6266500</v>
      </c>
      <c r="E46" s="600">
        <f t="shared" si="7"/>
        <v>0</v>
      </c>
      <c r="F46" s="600">
        <f t="shared" si="7"/>
        <v>0</v>
      </c>
      <c r="G46" s="600">
        <f t="shared" si="7"/>
        <v>0</v>
      </c>
      <c r="H46" s="601">
        <f t="shared" si="7"/>
        <v>0</v>
      </c>
      <c r="I46" s="231">
        <f t="shared" si="7"/>
        <v>376407400</v>
      </c>
      <c r="J46" s="600">
        <f t="shared" si="7"/>
        <v>0</v>
      </c>
      <c r="K46" s="600">
        <f t="shared" si="7"/>
        <v>0</v>
      </c>
      <c r="L46" s="600">
        <f t="shared" si="7"/>
        <v>0</v>
      </c>
      <c r="M46" s="601">
        <f t="shared" si="7"/>
        <v>0</v>
      </c>
      <c r="N46" s="610">
        <f t="shared" si="7"/>
        <v>6266500</v>
      </c>
      <c r="O46" s="600">
        <f t="shared" si="7"/>
        <v>376407400</v>
      </c>
      <c r="P46" s="605">
        <f t="shared" si="7"/>
        <v>0</v>
      </c>
      <c r="Q46" s="634">
        <f t="shared" si="7"/>
        <v>382673900</v>
      </c>
    </row>
  </sheetData>
  <sheetProtection algorithmName="SHA-512" hashValue="p3EMNamVhFrf3IWPcqrvCgc1YzISjiwFcXntfXsJ+DJjAF3zpqHj33bK/oqqTG/TTcq21jlY8jyLY/BpSx0azA==" saltValue="l29o5JR7bG2nLP1EZH2s6A==" spinCount="100000" sheet="1"/>
  <mergeCells count="34">
    <mergeCell ref="A46:C46"/>
    <mergeCell ref="I20:M20"/>
    <mergeCell ref="B28:C28"/>
    <mergeCell ref="A22:A28"/>
    <mergeCell ref="B22:B24"/>
    <mergeCell ref="A36:A45"/>
    <mergeCell ref="C4:D4"/>
    <mergeCell ref="E4:G4"/>
    <mergeCell ref="C20:C21"/>
    <mergeCell ref="D20:H20"/>
    <mergeCell ref="B25:B27"/>
    <mergeCell ref="A29:A35"/>
    <mergeCell ref="B29:B31"/>
    <mergeCell ref="B32:B34"/>
    <mergeCell ref="B35:C35"/>
    <mergeCell ref="Q42:Q43"/>
    <mergeCell ref="Q36:Q37"/>
    <mergeCell ref="Q39:Q40"/>
    <mergeCell ref="N20:N21"/>
    <mergeCell ref="O20:O21"/>
    <mergeCell ref="B45:C45"/>
    <mergeCell ref="B39:B41"/>
    <mergeCell ref="B42:B44"/>
    <mergeCell ref="B36:B38"/>
    <mergeCell ref="Q32:Q33"/>
    <mergeCell ref="Q20:Q21"/>
    <mergeCell ref="Q22:Q23"/>
    <mergeCell ref="Q25:Q26"/>
    <mergeCell ref="Q29:Q30"/>
    <mergeCell ref="A6:D6"/>
    <mergeCell ref="A18:D18"/>
    <mergeCell ref="A20:A21"/>
    <mergeCell ref="B20:B21"/>
    <mergeCell ref="P20:P21"/>
  </mergeCells>
  <phoneticPr fontId="23" type="noConversion"/>
  <conditionalFormatting sqref="C14:N14 D15:N17 E18:N18 B9:I13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3:H23 D22:H22 J22 D25:Q25 I24:Q24 J23:O23 Q38 I42:J42 I40 D45 N43:O43 G36:J36 L22:Q22 N39:O39 N37:O37 L42:O42 N41:O41 N40:O40 L45:M45 L36:O36 D44 N44:O44 I39 Q23 D27:Q27 D26:O26 Q26 I43 F44:H44 F45:J45 Q45 D28:O28 Q28 Q41 Q44 Q40 Q43 Q39 Q37 Q42 Q36" unlockedFormula="1"/>
    <ignoredError sqref="F24:H24 F38" formula="1" unlockedFormula="1"/>
    <ignoredError sqref="D24:E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50"/>
    <pageSetUpPr autoPageBreaks="0"/>
  </sheetPr>
  <dimension ref="A1:IV36"/>
  <sheetViews>
    <sheetView showGridLines="0" zoomScale="78" zoomScaleNormal="80" workbookViewId="0">
      <selection activeCell="H20" sqref="H20"/>
    </sheetView>
  </sheetViews>
  <sheetFormatPr baseColWidth="10" defaultRowHeight="12.75" x14ac:dyDescent="0.2"/>
  <cols>
    <col min="1" max="1" width="56.5703125" customWidth="1"/>
    <col min="2" max="2" width="33.85546875" customWidth="1"/>
    <col min="3" max="3" width="12.28515625" customWidth="1"/>
    <col min="4" max="4" width="13.7109375" bestFit="1" customWidth="1"/>
    <col min="5" max="5" width="15.5703125" bestFit="1" customWidth="1"/>
    <col min="6" max="6" width="14.5703125" customWidth="1"/>
    <col min="7" max="7" width="14.85546875" customWidth="1"/>
    <col min="8" max="8" width="11.85546875" bestFit="1" customWidth="1"/>
    <col min="9" max="9" width="14.5703125" bestFit="1" customWidth="1"/>
    <col min="10" max="10" width="14.5703125" customWidth="1"/>
    <col min="11" max="12" width="11.85546875" customWidth="1"/>
    <col min="13" max="13" width="14" customWidth="1"/>
    <col min="14" max="15" width="14.5703125" customWidth="1"/>
    <col min="16" max="18" width="11.85546875" customWidth="1"/>
    <col min="19" max="19" width="32.7109375" customWidth="1"/>
    <col min="20" max="20" width="33" bestFit="1" customWidth="1"/>
    <col min="21" max="21" width="13.85546875" customWidth="1"/>
    <col min="22" max="22" width="14.5703125" bestFit="1" customWidth="1"/>
    <col min="23" max="23" width="14.5703125" customWidth="1"/>
    <col min="24" max="24" width="12.85546875" bestFit="1" customWidth="1"/>
  </cols>
  <sheetData>
    <row r="1" spans="1:256" s="4" customFormat="1" x14ac:dyDescent="0.2">
      <c r="A1" s="3"/>
      <c r="F1" s="33" t="s">
        <v>203</v>
      </c>
      <c r="S1" s="3"/>
      <c r="IU1" s="2"/>
      <c r="IV1" s="2"/>
    </row>
    <row r="2" spans="1:256" s="4" customFormat="1" x14ac:dyDescent="0.2">
      <c r="A2" s="5"/>
      <c r="F2" s="33" t="s">
        <v>196</v>
      </c>
      <c r="S2" s="5"/>
      <c r="IU2" s="2"/>
      <c r="IV2" s="2"/>
    </row>
    <row r="3" spans="1:256" s="4" customFormat="1" x14ac:dyDescent="0.2">
      <c r="A3" s="2"/>
      <c r="S3" s="2"/>
      <c r="IU3" s="2"/>
      <c r="IV3" s="2"/>
    </row>
    <row r="4" spans="1:256" s="4" customFormat="1" ht="13.5" thickBot="1" x14ac:dyDescent="0.25">
      <c r="A4" s="2"/>
      <c r="B4" s="19"/>
      <c r="S4" s="2"/>
      <c r="T4" s="19"/>
      <c r="IL4" s="2"/>
      <c r="IM4" s="2"/>
      <c r="IN4" s="2"/>
      <c r="IO4" s="2"/>
      <c r="IP4" s="2"/>
      <c r="IQ4" s="2"/>
    </row>
    <row r="5" spans="1:256" s="4" customFormat="1" ht="18" customHeight="1" thickBot="1" x14ac:dyDescent="0.25">
      <c r="A5" s="2"/>
      <c r="B5" s="19"/>
      <c r="C5" s="843" t="s">
        <v>0</v>
      </c>
      <c r="D5" s="887"/>
      <c r="E5" s="6"/>
      <c r="F5" s="895" t="s">
        <v>123</v>
      </c>
      <c r="G5" s="896"/>
      <c r="S5" s="2"/>
      <c r="T5" s="19"/>
      <c r="V5" s="1"/>
      <c r="W5" s="1"/>
      <c r="IL5" s="2"/>
      <c r="IM5" s="2"/>
      <c r="IN5" s="2"/>
      <c r="IO5" s="2"/>
      <c r="IP5" s="2"/>
      <c r="IQ5" s="2"/>
    </row>
    <row r="6" spans="1:256" s="4" customFormat="1" ht="18" customHeight="1" x14ac:dyDescent="0.2">
      <c r="A6" s="2"/>
      <c r="B6" s="19"/>
      <c r="C6" s="6"/>
      <c r="D6" s="6"/>
      <c r="E6" s="6"/>
      <c r="F6" s="33"/>
      <c r="G6" s="33"/>
      <c r="S6" s="2"/>
      <c r="T6" s="19"/>
      <c r="V6" s="1"/>
      <c r="W6" s="1"/>
      <c r="IL6" s="2"/>
      <c r="IM6" s="2"/>
      <c r="IN6" s="2"/>
      <c r="IO6" s="2"/>
      <c r="IP6" s="2"/>
      <c r="IQ6" s="2"/>
    </row>
    <row r="7" spans="1:256" s="4" customFormat="1" ht="18" customHeight="1" x14ac:dyDescent="0.2">
      <c r="A7" s="2"/>
      <c r="B7" s="19"/>
      <c r="C7" s="6"/>
      <c r="D7" s="6"/>
      <c r="E7" s="6"/>
      <c r="F7" s="33"/>
      <c r="G7" s="33"/>
      <c r="S7" s="2"/>
      <c r="T7" s="19"/>
      <c r="V7" s="46"/>
      <c r="W7" s="46"/>
      <c r="IL7" s="2"/>
      <c r="IM7" s="2"/>
      <c r="IN7" s="2"/>
      <c r="IO7" s="2"/>
      <c r="IP7" s="2"/>
      <c r="IQ7" s="2"/>
    </row>
    <row r="8" spans="1:256" s="4" customFormat="1" ht="15.75" x14ac:dyDescent="0.2">
      <c r="A8" s="867" t="s">
        <v>149</v>
      </c>
      <c r="B8" s="867"/>
      <c r="C8" s="867"/>
      <c r="D8" s="867"/>
      <c r="E8" s="88"/>
      <c r="F8" s="33"/>
      <c r="G8" s="33"/>
      <c r="IL8" s="2"/>
      <c r="IM8" s="2"/>
      <c r="IN8" s="2"/>
      <c r="IO8" s="2"/>
      <c r="IP8" s="2"/>
      <c r="IQ8" s="2"/>
    </row>
    <row r="9" spans="1:256" ht="13.5" customHeight="1" thickBot="1" x14ac:dyDescent="0.25"/>
    <row r="10" spans="1:256" ht="15.75" customHeight="1" x14ac:dyDescent="0.2">
      <c r="A10" s="876" t="s">
        <v>134</v>
      </c>
      <c r="B10" s="871" t="s">
        <v>5</v>
      </c>
      <c r="C10" s="878" t="s">
        <v>256</v>
      </c>
      <c r="D10" s="865"/>
      <c r="E10" s="865"/>
      <c r="F10" s="865"/>
      <c r="G10" s="889"/>
      <c r="H10" s="868" t="s">
        <v>108</v>
      </c>
      <c r="I10" s="869"/>
      <c r="J10" s="869"/>
      <c r="K10" s="869"/>
      <c r="L10" s="870"/>
      <c r="M10" s="864" t="s">
        <v>261</v>
      </c>
      <c r="N10" s="865"/>
      <c r="O10" s="865"/>
      <c r="P10" s="865"/>
      <c r="Q10" s="866"/>
      <c r="R10" s="15"/>
    </row>
    <row r="11" spans="1:256" ht="69" customHeight="1" thickBot="1" x14ac:dyDescent="0.25">
      <c r="A11" s="877"/>
      <c r="B11" s="872"/>
      <c r="C11" s="287" t="s">
        <v>86</v>
      </c>
      <c r="D11" s="288" t="s">
        <v>136</v>
      </c>
      <c r="E11" s="288" t="s">
        <v>137</v>
      </c>
      <c r="F11" s="288" t="s">
        <v>87</v>
      </c>
      <c r="G11" s="500" t="s">
        <v>88</v>
      </c>
      <c r="H11" s="502" t="s">
        <v>86</v>
      </c>
      <c r="I11" s="503" t="s">
        <v>136</v>
      </c>
      <c r="J11" s="503" t="s">
        <v>137</v>
      </c>
      <c r="K11" s="504" t="s">
        <v>87</v>
      </c>
      <c r="L11" s="505" t="s">
        <v>88</v>
      </c>
      <c r="M11" s="501" t="s">
        <v>86</v>
      </c>
      <c r="N11" s="288" t="s">
        <v>136</v>
      </c>
      <c r="O11" s="288" t="s">
        <v>137</v>
      </c>
      <c r="P11" s="288" t="s">
        <v>87</v>
      </c>
      <c r="Q11" s="289" t="s">
        <v>88</v>
      </c>
      <c r="R11" s="15"/>
    </row>
    <row r="12" spans="1:256" ht="19.5" customHeight="1" x14ac:dyDescent="0.2">
      <c r="A12" s="882" t="s">
        <v>209</v>
      </c>
      <c r="B12" s="481" t="s">
        <v>127</v>
      </c>
      <c r="C12" s="482">
        <v>93900</v>
      </c>
      <c r="D12" s="483">
        <v>126700</v>
      </c>
      <c r="E12" s="483">
        <v>131400</v>
      </c>
      <c r="F12" s="483">
        <v>128100</v>
      </c>
      <c r="G12" s="443">
        <v>162800</v>
      </c>
      <c r="H12" s="506">
        <v>4.4999999999999998E-2</v>
      </c>
      <c r="I12" s="484">
        <f>+H12</f>
        <v>4.4999999999999998E-2</v>
      </c>
      <c r="J12" s="484">
        <f>+H12</f>
        <v>4.4999999999999998E-2</v>
      </c>
      <c r="K12" s="484">
        <f>+H12</f>
        <v>4.4999999999999998E-2</v>
      </c>
      <c r="L12" s="507">
        <f>+H12</f>
        <v>4.4999999999999998E-2</v>
      </c>
      <c r="M12" s="444">
        <f>CEILING(C12*(1+H12),100)</f>
        <v>98200</v>
      </c>
      <c r="N12" s="485">
        <f>+CEILING(C12*(1.35)*(1+I12),100)</f>
        <v>132500</v>
      </c>
      <c r="O12" s="485">
        <f>+CEILING(C12*(1.4)*(1+J12),100)</f>
        <v>137400</v>
      </c>
      <c r="P12" s="485">
        <f t="shared" ref="P12:Q15" si="0">+CEILING(F12*(1+K12),100)</f>
        <v>133900</v>
      </c>
      <c r="Q12" s="486">
        <f t="shared" si="0"/>
        <v>170200</v>
      </c>
      <c r="R12" s="69"/>
    </row>
    <row r="13" spans="1:256" ht="19.5" customHeight="1" thickBot="1" x14ac:dyDescent="0.25">
      <c r="A13" s="883"/>
      <c r="B13" s="487" t="s">
        <v>210</v>
      </c>
      <c r="C13" s="488">
        <v>119300</v>
      </c>
      <c r="D13" s="492">
        <v>161000</v>
      </c>
      <c r="E13" s="492">
        <v>167000</v>
      </c>
      <c r="F13" s="492">
        <v>178900</v>
      </c>
      <c r="G13" s="493">
        <v>238300</v>
      </c>
      <c r="H13" s="508">
        <v>4.4999999999999998E-2</v>
      </c>
      <c r="I13" s="494">
        <f>+H13</f>
        <v>4.4999999999999998E-2</v>
      </c>
      <c r="J13" s="494">
        <f>+H13</f>
        <v>4.4999999999999998E-2</v>
      </c>
      <c r="K13" s="494">
        <f>+H13</f>
        <v>4.4999999999999998E-2</v>
      </c>
      <c r="L13" s="509">
        <f>+H13</f>
        <v>4.4999999999999998E-2</v>
      </c>
      <c r="M13" s="489">
        <f>CEILING(C13*(1+H13),100)</f>
        <v>124700</v>
      </c>
      <c r="N13" s="495">
        <f>+CEILING(C13*(1.35)*(1+I13),100)</f>
        <v>168400</v>
      </c>
      <c r="O13" s="495">
        <f>+CEILING(C13*(1.4)*(1+J13),100)</f>
        <v>174600</v>
      </c>
      <c r="P13" s="495">
        <f t="shared" si="0"/>
        <v>187000</v>
      </c>
      <c r="Q13" s="496">
        <f t="shared" si="0"/>
        <v>249100</v>
      </c>
    </row>
    <row r="14" spans="1:256" ht="19.5" customHeight="1" x14ac:dyDescent="0.2">
      <c r="A14" s="882" t="s">
        <v>216</v>
      </c>
      <c r="B14" s="445" t="s">
        <v>127</v>
      </c>
      <c r="C14" s="490">
        <v>129600</v>
      </c>
      <c r="D14" s="483">
        <v>175000</v>
      </c>
      <c r="E14" s="483">
        <v>181500</v>
      </c>
      <c r="F14" s="483">
        <v>162100</v>
      </c>
      <c r="G14" s="443">
        <v>194400</v>
      </c>
      <c r="H14" s="527">
        <v>4.4999999999999998E-2</v>
      </c>
      <c r="I14" s="479">
        <f>+H14</f>
        <v>4.4999999999999998E-2</v>
      </c>
      <c r="J14" s="479">
        <f>+H14</f>
        <v>4.4999999999999998E-2</v>
      </c>
      <c r="K14" s="479">
        <f>+H14</f>
        <v>4.4999999999999998E-2</v>
      </c>
      <c r="L14" s="528">
        <f>+H14</f>
        <v>4.4999999999999998E-2</v>
      </c>
      <c r="M14" s="525">
        <f>CEILING(C14*(1+H14),100)</f>
        <v>135500</v>
      </c>
      <c r="N14" s="480">
        <f>+CEILING(C14*(1.35)*(1+I14),100)</f>
        <v>182900</v>
      </c>
      <c r="O14" s="480">
        <f>+CEILING(C14*(1.4)*(1+J14),100)</f>
        <v>189700</v>
      </c>
      <c r="P14" s="480">
        <f t="shared" si="0"/>
        <v>169400</v>
      </c>
      <c r="Q14" s="526">
        <f t="shared" si="0"/>
        <v>203200</v>
      </c>
    </row>
    <row r="15" spans="1:256" ht="19.5" customHeight="1" thickBot="1" x14ac:dyDescent="0.25">
      <c r="A15" s="883"/>
      <c r="B15" s="446" t="s">
        <v>217</v>
      </c>
      <c r="C15" s="491">
        <v>203300</v>
      </c>
      <c r="D15" s="492">
        <v>274500</v>
      </c>
      <c r="E15" s="492">
        <v>284600</v>
      </c>
      <c r="F15" s="492">
        <v>254200</v>
      </c>
      <c r="G15" s="493">
        <v>305000</v>
      </c>
      <c r="H15" s="508">
        <v>4.4999999999999998E-2</v>
      </c>
      <c r="I15" s="494">
        <f>+H15</f>
        <v>4.4999999999999998E-2</v>
      </c>
      <c r="J15" s="494">
        <f>+H15</f>
        <v>4.4999999999999998E-2</v>
      </c>
      <c r="K15" s="494">
        <f>+H15</f>
        <v>4.4999999999999998E-2</v>
      </c>
      <c r="L15" s="509">
        <f>+H15</f>
        <v>4.4999999999999998E-2</v>
      </c>
      <c r="M15" s="489">
        <f>CEILING(C15*(1+H15),100)</f>
        <v>212500</v>
      </c>
      <c r="N15" s="495">
        <f>+CEILING(C15*(1.35)*(1+I15),100)</f>
        <v>286900</v>
      </c>
      <c r="O15" s="495">
        <f>+CEILING(C15*(1.4)*(1+J15),100)</f>
        <v>297500</v>
      </c>
      <c r="P15" s="495">
        <f t="shared" si="0"/>
        <v>265700</v>
      </c>
      <c r="Q15" s="496">
        <f t="shared" si="0"/>
        <v>318800</v>
      </c>
    </row>
    <row r="16" spans="1:256" ht="12.75" customHeight="1" thickBot="1" x14ac:dyDescent="0.25"/>
    <row r="17" spans="1:18" ht="15.75" customHeight="1" x14ac:dyDescent="0.2">
      <c r="A17" s="876" t="s">
        <v>135</v>
      </c>
      <c r="B17" s="871" t="s">
        <v>5</v>
      </c>
      <c r="C17" s="878" t="s">
        <v>256</v>
      </c>
      <c r="D17" s="865"/>
      <c r="E17" s="865"/>
      <c r="F17" s="865"/>
      <c r="G17" s="866"/>
      <c r="H17" s="868" t="s">
        <v>108</v>
      </c>
      <c r="I17" s="869"/>
      <c r="J17" s="869"/>
      <c r="K17" s="869"/>
      <c r="L17" s="870"/>
      <c r="M17" s="879" t="s">
        <v>261</v>
      </c>
      <c r="N17" s="880"/>
      <c r="O17" s="880"/>
      <c r="P17" s="880"/>
      <c r="Q17" s="881"/>
      <c r="R17" s="15"/>
    </row>
    <row r="18" spans="1:18" ht="72.75" customHeight="1" thickBot="1" x14ac:dyDescent="0.25">
      <c r="A18" s="877"/>
      <c r="B18" s="872"/>
      <c r="C18" s="517" t="s">
        <v>86</v>
      </c>
      <c r="D18" s="430" t="s">
        <v>136</v>
      </c>
      <c r="E18" s="430" t="s">
        <v>137</v>
      </c>
      <c r="F18" s="430" t="s">
        <v>87</v>
      </c>
      <c r="G18" s="518" t="s">
        <v>88</v>
      </c>
      <c r="H18" s="513" t="s">
        <v>86</v>
      </c>
      <c r="I18" s="412" t="s">
        <v>136</v>
      </c>
      <c r="J18" s="412" t="s">
        <v>137</v>
      </c>
      <c r="K18" s="514" t="s">
        <v>87</v>
      </c>
      <c r="L18" s="505" t="s">
        <v>88</v>
      </c>
      <c r="M18" s="510" t="s">
        <v>86</v>
      </c>
      <c r="N18" s="430" t="s">
        <v>136</v>
      </c>
      <c r="O18" s="430" t="s">
        <v>137</v>
      </c>
      <c r="P18" s="411" t="s">
        <v>87</v>
      </c>
      <c r="Q18" s="418" t="s">
        <v>88</v>
      </c>
      <c r="R18" s="15"/>
    </row>
    <row r="19" spans="1:18" ht="19.5" customHeight="1" x14ac:dyDescent="0.2">
      <c r="A19" s="882" t="s">
        <v>211</v>
      </c>
      <c r="B19" s="481" t="s">
        <v>212</v>
      </c>
      <c r="C19" s="519">
        <v>397800</v>
      </c>
      <c r="D19" s="498">
        <v>537000</v>
      </c>
      <c r="E19" s="498">
        <v>556900</v>
      </c>
      <c r="F19" s="498">
        <v>497200</v>
      </c>
      <c r="G19" s="520">
        <v>596600</v>
      </c>
      <c r="H19" s="506">
        <v>0.1</v>
      </c>
      <c r="I19" s="484">
        <f>+H19</f>
        <v>0.1</v>
      </c>
      <c r="J19" s="484">
        <f>+H19</f>
        <v>0.1</v>
      </c>
      <c r="K19" s="484">
        <f>+H19</f>
        <v>0.1</v>
      </c>
      <c r="L19" s="507">
        <f>+H19</f>
        <v>0.1</v>
      </c>
      <c r="M19" s="444">
        <f>CEILING(C19*(1+H19),100)</f>
        <v>437600</v>
      </c>
      <c r="N19" s="485">
        <f>+CEILING(C19*(1.35)*(1+I19),100)</f>
        <v>590800</v>
      </c>
      <c r="O19" s="485">
        <f>+CEILING(C19*(1.4)*(1+J19),100)</f>
        <v>612700</v>
      </c>
      <c r="P19" s="485">
        <f>+CEILING(F19*(1+K19),100)</f>
        <v>547000</v>
      </c>
      <c r="Q19" s="486">
        <f>+CEILING(G19*(1+L19),100)</f>
        <v>656300</v>
      </c>
      <c r="R19" s="70"/>
    </row>
    <row r="20" spans="1:18" ht="19.5" customHeight="1" x14ac:dyDescent="0.2">
      <c r="A20" s="897"/>
      <c r="B20" s="516" t="s">
        <v>139</v>
      </c>
      <c r="C20" s="521">
        <v>320900</v>
      </c>
      <c r="D20" s="497"/>
      <c r="E20" s="497"/>
      <c r="F20" s="497"/>
      <c r="G20" s="499"/>
      <c r="H20" s="515">
        <v>0.1</v>
      </c>
      <c r="I20" s="497"/>
      <c r="J20" s="497"/>
      <c r="K20" s="497"/>
      <c r="L20" s="499"/>
      <c r="M20" s="511">
        <f>CEILING(C20*(1+H20),100)</f>
        <v>353000</v>
      </c>
      <c r="N20" s="497"/>
      <c r="O20" s="497"/>
      <c r="P20" s="497"/>
      <c r="Q20" s="499"/>
      <c r="R20" s="70"/>
    </row>
    <row r="21" spans="1:18" ht="19.5" customHeight="1" thickBot="1" x14ac:dyDescent="0.25">
      <c r="A21" s="883"/>
      <c r="B21" s="487" t="s">
        <v>133</v>
      </c>
      <c r="C21" s="522">
        <v>238900</v>
      </c>
      <c r="D21" s="523">
        <v>322600</v>
      </c>
      <c r="E21" s="523">
        <v>334500</v>
      </c>
      <c r="F21" s="523">
        <v>358100</v>
      </c>
      <c r="G21" s="524">
        <v>477400</v>
      </c>
      <c r="H21" s="508">
        <v>0.1</v>
      </c>
      <c r="I21" s="494">
        <f>+H21</f>
        <v>0.1</v>
      </c>
      <c r="J21" s="494">
        <f>+H21</f>
        <v>0.1</v>
      </c>
      <c r="K21" s="494">
        <f>+H21</f>
        <v>0.1</v>
      </c>
      <c r="L21" s="509">
        <f>+H21</f>
        <v>0.1</v>
      </c>
      <c r="M21" s="512">
        <f>CEILING(C21*(1+H21),100)</f>
        <v>262800</v>
      </c>
      <c r="N21" s="495">
        <f>+CEILING(C21*(1.35)*(1+I21),100)</f>
        <v>354800</v>
      </c>
      <c r="O21" s="495">
        <f>+CEILING(C21*(1.4)*(1+J21),100)</f>
        <v>368000</v>
      </c>
      <c r="P21" s="495">
        <f>+CEILING(F21*(1+K21),100)</f>
        <v>394000</v>
      </c>
      <c r="Q21" s="496">
        <f>+CEILING(G21*(1+L21),100)</f>
        <v>525200</v>
      </c>
      <c r="R21" s="70"/>
    </row>
    <row r="22" spans="1:18" x14ac:dyDescent="0.2">
      <c r="D22" s="129"/>
    </row>
    <row r="23" spans="1:18" ht="15.75" x14ac:dyDescent="0.2">
      <c r="A23" s="867" t="s">
        <v>150</v>
      </c>
      <c r="B23" s="867"/>
      <c r="C23" s="867"/>
      <c r="D23" s="867"/>
      <c r="E23" s="867"/>
      <c r="F23" s="867"/>
      <c r="G23" s="4"/>
      <c r="H23" s="4"/>
    </row>
    <row r="24" spans="1:18" ht="13.5" thickBot="1" x14ac:dyDescent="0.25"/>
    <row r="25" spans="1:18" ht="16.5" thickBot="1" x14ac:dyDescent="0.25">
      <c r="A25" s="892" t="s">
        <v>134</v>
      </c>
      <c r="B25" s="890" t="s">
        <v>5</v>
      </c>
      <c r="C25" s="874" t="s">
        <v>260</v>
      </c>
      <c r="D25" s="874"/>
      <c r="E25" s="874"/>
      <c r="F25" s="874"/>
      <c r="G25" s="874"/>
      <c r="H25" s="888"/>
      <c r="M25" s="635"/>
    </row>
    <row r="26" spans="1:18" ht="64.5" thickBot="1" x14ac:dyDescent="0.25">
      <c r="A26" s="893"/>
      <c r="B26" s="891"/>
      <c r="C26" s="468" t="s">
        <v>86</v>
      </c>
      <c r="D26" s="81" t="s">
        <v>136</v>
      </c>
      <c r="E26" s="81" t="s">
        <v>137</v>
      </c>
      <c r="F26" s="81" t="s">
        <v>87</v>
      </c>
      <c r="G26" s="464" t="s">
        <v>88</v>
      </c>
      <c r="H26" s="451" t="s">
        <v>132</v>
      </c>
      <c r="M26" s="129"/>
    </row>
    <row r="27" spans="1:18" ht="19.5" customHeight="1" thickBot="1" x14ac:dyDescent="0.25">
      <c r="A27" s="884" t="str">
        <f>+A12</f>
        <v>Jardín Infantil Tortuguita Marina</v>
      </c>
      <c r="B27" s="472" t="str">
        <f>+B12</f>
        <v>Media jornada</v>
      </c>
      <c r="C27" s="469">
        <v>9</v>
      </c>
      <c r="D27" s="235"/>
      <c r="E27" s="235"/>
      <c r="F27" s="235"/>
      <c r="G27" s="465"/>
      <c r="H27" s="475">
        <f>SUM(C27:G27)</f>
        <v>9</v>
      </c>
      <c r="M27" s="636"/>
    </row>
    <row r="28" spans="1:18" ht="19.5" customHeight="1" thickBot="1" x14ac:dyDescent="0.25">
      <c r="A28" s="894"/>
      <c r="B28" s="473" t="str">
        <f>+B13</f>
        <v xml:space="preserve">Doble Jornada </v>
      </c>
      <c r="C28" s="470">
        <v>16</v>
      </c>
      <c r="D28" s="283"/>
      <c r="E28" s="283"/>
      <c r="F28" s="283"/>
      <c r="G28" s="466"/>
      <c r="H28" s="476">
        <f>SUM(C28:G28)</f>
        <v>16</v>
      </c>
      <c r="I28" s="478">
        <f>SUM(H27:H28)</f>
        <v>25</v>
      </c>
      <c r="M28" s="636"/>
    </row>
    <row r="29" spans="1:18" ht="19.5" customHeight="1" thickBot="1" x14ac:dyDescent="0.25">
      <c r="A29" s="884" t="str">
        <f>+A14</f>
        <v>Jardín Infantil Burbujitas de Mar</v>
      </c>
      <c r="B29" s="472" t="str">
        <f>+B14</f>
        <v>Media jornada</v>
      </c>
      <c r="C29" s="469">
        <v>25</v>
      </c>
      <c r="D29" s="235"/>
      <c r="E29" s="235"/>
      <c r="F29" s="235"/>
      <c r="G29" s="465"/>
      <c r="H29" s="475">
        <f>SUM(C29:G29)</f>
        <v>25</v>
      </c>
      <c r="I29" s="14"/>
    </row>
    <row r="30" spans="1:18" ht="19.5" customHeight="1" thickBot="1" x14ac:dyDescent="0.25">
      <c r="A30" s="885"/>
      <c r="B30" s="474" t="str">
        <f>+B15</f>
        <v>Jornada  Completa</v>
      </c>
      <c r="C30" s="471"/>
      <c r="D30" s="284"/>
      <c r="E30" s="284"/>
      <c r="F30" s="284"/>
      <c r="G30" s="467"/>
      <c r="H30" s="477">
        <f>SUM(C30:G30)</f>
        <v>0</v>
      </c>
      <c r="I30" s="478">
        <f>SUM(H29:H30)</f>
        <v>25</v>
      </c>
      <c r="K30" s="636"/>
      <c r="L30" s="636"/>
      <c r="M30" s="636"/>
    </row>
    <row r="31" spans="1:18" ht="13.5" thickBot="1" x14ac:dyDescent="0.25">
      <c r="K31" s="636"/>
      <c r="L31" s="636"/>
      <c r="M31" s="636"/>
    </row>
    <row r="32" spans="1:18" ht="16.5" thickBot="1" x14ac:dyDescent="0.25">
      <c r="A32" s="876" t="s">
        <v>135</v>
      </c>
      <c r="B32" s="871" t="s">
        <v>5</v>
      </c>
      <c r="C32" s="873" t="s">
        <v>260</v>
      </c>
      <c r="D32" s="874"/>
      <c r="E32" s="874"/>
      <c r="F32" s="874"/>
      <c r="G32" s="874"/>
      <c r="H32" s="875"/>
    </row>
    <row r="33" spans="1:9" ht="64.5" thickBot="1" x14ac:dyDescent="0.25">
      <c r="A33" s="877"/>
      <c r="B33" s="872"/>
      <c r="C33" s="232" t="s">
        <v>86</v>
      </c>
      <c r="D33" s="81" t="s">
        <v>136</v>
      </c>
      <c r="E33" s="81" t="s">
        <v>137</v>
      </c>
      <c r="F33" s="81" t="s">
        <v>87</v>
      </c>
      <c r="G33" s="82" t="s">
        <v>88</v>
      </c>
      <c r="H33" s="233" t="s">
        <v>132</v>
      </c>
    </row>
    <row r="34" spans="1:9" ht="19.5" customHeight="1" x14ac:dyDescent="0.2">
      <c r="A34" s="884" t="str">
        <f>+A19</f>
        <v>Sala Cuna Burbujitas de Mar</v>
      </c>
      <c r="B34" s="237" t="str">
        <f>+B19</f>
        <v>Jornada Completa Diurna</v>
      </c>
      <c r="C34" s="234">
        <v>42</v>
      </c>
      <c r="D34" s="235"/>
      <c r="E34" s="235"/>
      <c r="F34" s="235"/>
      <c r="G34" s="235"/>
      <c r="H34" s="290">
        <f>SUM(C34:G34)</f>
        <v>42</v>
      </c>
    </row>
    <row r="35" spans="1:9" ht="19.5" customHeight="1" thickBot="1" x14ac:dyDescent="0.25">
      <c r="A35" s="886"/>
      <c r="B35" s="238" t="str">
        <f>+B20</f>
        <v>Nocturna</v>
      </c>
      <c r="C35" s="240">
        <v>22</v>
      </c>
      <c r="D35" s="645"/>
      <c r="E35" s="645"/>
      <c r="F35" s="645"/>
      <c r="G35" s="645"/>
      <c r="H35" s="291">
        <f>SUM(C35:G35)</f>
        <v>22</v>
      </c>
    </row>
    <row r="36" spans="1:9" ht="19.5" customHeight="1" thickBot="1" x14ac:dyDescent="0.25">
      <c r="A36" s="885"/>
      <c r="B36" s="239" t="str">
        <f>+B21</f>
        <v>Media Jornada</v>
      </c>
      <c r="C36" s="236"/>
      <c r="D36" s="128"/>
      <c r="E36" s="128"/>
      <c r="F36" s="128"/>
      <c r="G36" s="128"/>
      <c r="H36" s="292">
        <f>SUM(C36:G36)</f>
        <v>0</v>
      </c>
      <c r="I36" s="478">
        <f>H36+H34</f>
        <v>42</v>
      </c>
    </row>
  </sheetData>
  <sheetProtection algorithmName="SHA-512" hashValue="aodssL9CSwMQUvxLlcibw+DHvRUOrSVJywfl+VxLKQpCbZFthPbgFm82IA6rT4LCGhIRGxFnCP4hNBIvWW/1XQ==" saltValue="FedHKoa8Tc60O+y7OyW6qw==" spinCount="100000" sheet="1"/>
  <mergeCells count="26">
    <mergeCell ref="B25:B26"/>
    <mergeCell ref="A25:A26"/>
    <mergeCell ref="A27:A28"/>
    <mergeCell ref="F5:G5"/>
    <mergeCell ref="A19:A21"/>
    <mergeCell ref="A12:A13"/>
    <mergeCell ref="A32:A33"/>
    <mergeCell ref="A14:A15"/>
    <mergeCell ref="A29:A30"/>
    <mergeCell ref="A34:A36"/>
    <mergeCell ref="C5:D5"/>
    <mergeCell ref="C25:H25"/>
    <mergeCell ref="B10:B11"/>
    <mergeCell ref="C10:G10"/>
    <mergeCell ref="A8:D8"/>
    <mergeCell ref="A10:A11"/>
    <mergeCell ref="M10:Q10"/>
    <mergeCell ref="A23:F23"/>
    <mergeCell ref="H10:L10"/>
    <mergeCell ref="B32:B33"/>
    <mergeCell ref="C32:H32"/>
    <mergeCell ref="A17:A18"/>
    <mergeCell ref="B17:B18"/>
    <mergeCell ref="C17:G17"/>
    <mergeCell ref="H17:L17"/>
    <mergeCell ref="M17:Q17"/>
  </mergeCells>
  <pageMargins left="0.7" right="0.7" top="0.75" bottom="0.75" header="0.3" footer="0.3"/>
  <pageSetup paperSize="9" orientation="portrait" r:id="rId1"/>
  <ignoredErrors>
    <ignoredError sqref="K12:L12 I19:L19 I21:L2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C00000"/>
    <pageSetUpPr fitToPage="1"/>
  </sheetPr>
  <dimension ref="A1:P274"/>
  <sheetViews>
    <sheetView showGridLines="0" zoomScale="80" zoomScaleNormal="80" workbookViewId="0">
      <selection activeCell="M88" sqref="M88"/>
    </sheetView>
  </sheetViews>
  <sheetFormatPr baseColWidth="10" defaultRowHeight="12.75" x14ac:dyDescent="0.2"/>
  <cols>
    <col min="1" max="1" width="30.28515625" style="2" customWidth="1"/>
    <col min="2" max="2" width="21.140625" style="2" customWidth="1"/>
    <col min="3" max="3" width="57.42578125" style="2" bestFit="1" customWidth="1"/>
    <col min="4" max="4" width="17" style="2" customWidth="1"/>
    <col min="5" max="5" width="14.28515625" style="2" customWidth="1"/>
    <col min="6" max="6" width="14.42578125" style="20" customWidth="1"/>
    <col min="7" max="7" width="14.28515625" style="4" customWidth="1"/>
    <col min="8" max="8" width="23" style="4" customWidth="1"/>
    <col min="9" max="9" width="9.5703125" style="2" customWidth="1"/>
    <col min="10" max="10" width="13.5703125" style="2" customWidth="1"/>
    <col min="11" max="11" width="11.42578125" style="2"/>
    <col min="12" max="12" width="46.7109375" style="2" customWidth="1"/>
    <col min="13" max="13" width="12" style="2" bestFit="1" customWidth="1"/>
    <col min="14" max="14" width="12.28515625" style="2" customWidth="1"/>
    <col min="15" max="15" width="14.28515625" style="2" customWidth="1"/>
    <col min="16" max="16" width="14.140625" style="2" customWidth="1"/>
    <col min="17" max="16384" width="11.42578125" style="2"/>
  </cols>
  <sheetData>
    <row r="1" spans="1:10" x14ac:dyDescent="0.2">
      <c r="C1" s="33"/>
      <c r="D1" s="33" t="s">
        <v>204</v>
      </c>
      <c r="E1" s="33"/>
      <c r="F1" s="33"/>
      <c r="G1" s="33"/>
      <c r="H1" s="33"/>
    </row>
    <row r="2" spans="1:10" x14ac:dyDescent="0.2">
      <c r="C2" s="33"/>
      <c r="D2" s="33" t="s">
        <v>215</v>
      </c>
      <c r="E2" s="33"/>
      <c r="F2" s="33"/>
      <c r="G2" s="33"/>
      <c r="H2" s="33"/>
      <c r="I2" s="33"/>
    </row>
    <row r="3" spans="1:10" x14ac:dyDescent="0.2">
      <c r="C3" s="33"/>
      <c r="E3" s="33"/>
      <c r="F3" s="33"/>
      <c r="G3" s="33"/>
      <c r="H3" s="33"/>
      <c r="I3" s="33"/>
    </row>
    <row r="4" spans="1:10" ht="19.5" customHeight="1" x14ac:dyDescent="0.2">
      <c r="C4" s="6" t="s">
        <v>0</v>
      </c>
      <c r="D4" s="844" t="s">
        <v>151</v>
      </c>
      <c r="E4" s="846"/>
      <c r="F4" s="33"/>
      <c r="G4" s="33"/>
      <c r="H4" s="33"/>
      <c r="I4" s="33"/>
    </row>
    <row r="5" spans="1:10" x14ac:dyDescent="0.2">
      <c r="B5" s="33"/>
      <c r="C5" s="33"/>
      <c r="D5" s="33"/>
      <c r="E5" s="33"/>
      <c r="F5" s="33"/>
      <c r="G5" s="33"/>
      <c r="H5" s="33"/>
      <c r="I5" s="33"/>
    </row>
    <row r="6" spans="1:10" x14ac:dyDescent="0.2">
      <c r="B6" s="33"/>
      <c r="C6" s="33"/>
      <c r="D6" s="33"/>
      <c r="E6" s="33"/>
      <c r="F6" s="33"/>
      <c r="G6" s="33"/>
      <c r="H6" s="33"/>
      <c r="I6" s="33"/>
    </row>
    <row r="7" spans="1:10" x14ac:dyDescent="0.2">
      <c r="C7" s="4"/>
      <c r="I7" s="33"/>
    </row>
    <row r="8" spans="1:10" ht="15.75" x14ac:dyDescent="0.2">
      <c r="A8" s="867" t="s">
        <v>152</v>
      </c>
      <c r="B8" s="867"/>
      <c r="C8" s="867"/>
      <c r="D8" s="33"/>
      <c r="G8" s="2"/>
      <c r="I8"/>
    </row>
    <row r="9" spans="1:10" ht="13.5" thickBot="1" x14ac:dyDescent="0.25">
      <c r="I9" s="33"/>
    </row>
    <row r="10" spans="1:10" ht="12.75" customHeight="1" x14ac:dyDescent="0.2">
      <c r="A10" s="898" t="s">
        <v>114</v>
      </c>
      <c r="B10" s="900" t="s">
        <v>75</v>
      </c>
      <c r="C10" s="902" t="s">
        <v>76</v>
      </c>
      <c r="D10" s="904" t="s">
        <v>77</v>
      </c>
      <c r="E10" s="906" t="s">
        <v>78</v>
      </c>
      <c r="F10" s="906"/>
      <c r="G10" s="906"/>
      <c r="H10" s="911" t="s">
        <v>262</v>
      </c>
      <c r="I10" s="915"/>
      <c r="J10" s="915"/>
    </row>
    <row r="11" spans="1:10" ht="57" customHeight="1" thickBot="1" x14ac:dyDescent="0.25">
      <c r="A11" s="899"/>
      <c r="B11" s="901"/>
      <c r="C11" s="903"/>
      <c r="D11" s="905"/>
      <c r="E11" s="369" t="s">
        <v>67</v>
      </c>
      <c r="F11" s="370" t="s">
        <v>68</v>
      </c>
      <c r="G11" s="371" t="s">
        <v>6</v>
      </c>
      <c r="H11" s="912"/>
      <c r="I11" s="915"/>
      <c r="J11" s="915"/>
    </row>
    <row r="12" spans="1:10" ht="12.75" customHeight="1" x14ac:dyDescent="0.2">
      <c r="A12" s="920" t="str">
        <f>'B) Reajuste Tarifas y Ocupación'!A12:A13</f>
        <v>Jardín Infantil Tortuguita Marina</v>
      </c>
      <c r="B12" s="307"/>
      <c r="C12" s="308" t="s">
        <v>11</v>
      </c>
      <c r="D12" s="309">
        <f>SUM(D13,D18)</f>
        <v>36157311.198750004</v>
      </c>
      <c r="E12" s="333"/>
      <c r="F12" s="333"/>
      <c r="G12" s="311">
        <f>SUM(G13,G18)</f>
        <v>1654873.7562500001</v>
      </c>
      <c r="H12" s="312">
        <f>SUM(H13,H18)</f>
        <v>37812184.954999998</v>
      </c>
    </row>
    <row r="13" spans="1:10" ht="12.75" customHeight="1" x14ac:dyDescent="0.2">
      <c r="A13" s="921"/>
      <c r="B13" s="263"/>
      <c r="C13" s="334" t="s">
        <v>12</v>
      </c>
      <c r="D13" s="335">
        <f>SUM(D14:D17)</f>
        <v>31821296.19875</v>
      </c>
      <c r="E13" s="336"/>
      <c r="F13" s="336"/>
      <c r="G13" s="337">
        <f>SUM(G14:G17)</f>
        <v>0</v>
      </c>
      <c r="H13" s="314">
        <f>SUM(H14:H17)</f>
        <v>31821296.19875</v>
      </c>
    </row>
    <row r="14" spans="1:10" ht="12.75" customHeight="1" x14ac:dyDescent="0.2">
      <c r="A14" s="921"/>
      <c r="B14" s="264">
        <v>53103040100000</v>
      </c>
      <c r="C14" s="281" t="s">
        <v>95</v>
      </c>
      <c r="D14" s="338">
        <f>+'F) Remuneraciones'!L11</f>
        <v>28821296.19875</v>
      </c>
      <c r="E14" s="339">
        <v>0</v>
      </c>
      <c r="F14" s="340">
        <v>0</v>
      </c>
      <c r="G14" s="341">
        <f>E14*F14</f>
        <v>0</v>
      </c>
      <c r="H14" s="342">
        <f>D14+G14</f>
        <v>28821296.19875</v>
      </c>
    </row>
    <row r="15" spans="1:10" ht="12.75" customHeight="1" x14ac:dyDescent="0.2">
      <c r="A15" s="921"/>
      <c r="B15" s="264">
        <v>53103050000000</v>
      </c>
      <c r="C15" s="281" t="s">
        <v>171</v>
      </c>
      <c r="D15" s="343">
        <v>0</v>
      </c>
      <c r="E15" s="344">
        <v>0</v>
      </c>
      <c r="F15" s="345">
        <v>0</v>
      </c>
      <c r="G15" s="341">
        <f>E15*F15</f>
        <v>0</v>
      </c>
      <c r="H15" s="342">
        <f>D15+G15</f>
        <v>0</v>
      </c>
    </row>
    <row r="16" spans="1:10" ht="12.75" customHeight="1" x14ac:dyDescent="0.2">
      <c r="A16" s="921"/>
      <c r="B16" s="265">
        <v>53103040400000</v>
      </c>
      <c r="C16" s="266" t="s">
        <v>172</v>
      </c>
      <c r="D16" s="343">
        <v>0</v>
      </c>
      <c r="E16" s="344">
        <v>0</v>
      </c>
      <c r="F16" s="345">
        <v>0</v>
      </c>
      <c r="G16" s="341">
        <f>E16*F16</f>
        <v>0</v>
      </c>
      <c r="H16" s="342">
        <f>D16+G16</f>
        <v>0</v>
      </c>
    </row>
    <row r="17" spans="1:8" ht="12.75" customHeight="1" x14ac:dyDescent="0.2">
      <c r="A17" s="921"/>
      <c r="B17" s="264">
        <v>53103080010000</v>
      </c>
      <c r="C17" s="281" t="s">
        <v>173</v>
      </c>
      <c r="D17" s="343">
        <v>3000000</v>
      </c>
      <c r="E17" s="344">
        <v>0</v>
      </c>
      <c r="F17" s="345">
        <v>0</v>
      </c>
      <c r="G17" s="341">
        <f>E17*F17</f>
        <v>0</v>
      </c>
      <c r="H17" s="342">
        <f>D17+G17</f>
        <v>3000000</v>
      </c>
    </row>
    <row r="18" spans="1:8" ht="12.75" customHeight="1" x14ac:dyDescent="0.2">
      <c r="A18" s="921"/>
      <c r="B18" s="263"/>
      <c r="C18" s="334" t="s">
        <v>16</v>
      </c>
      <c r="D18" s="346">
        <f>SUM(D19:D38)</f>
        <v>4336015</v>
      </c>
      <c r="E18" s="347"/>
      <c r="F18" s="347">
        <v>0</v>
      </c>
      <c r="G18" s="335">
        <f>SUM(G19:G38)</f>
        <v>1654873.7562500001</v>
      </c>
      <c r="H18" s="314">
        <f>SUM(H19:H38)</f>
        <v>5990888.7562499996</v>
      </c>
    </row>
    <row r="19" spans="1:8" ht="12.75" customHeight="1" x14ac:dyDescent="0.2">
      <c r="A19" s="921"/>
      <c r="B19" s="264">
        <v>53201010100000</v>
      </c>
      <c r="C19" s="348" t="s">
        <v>174</v>
      </c>
      <c r="D19" s="349">
        <v>0</v>
      </c>
      <c r="E19" s="344">
        <v>0</v>
      </c>
      <c r="F19" s="345">
        <v>0</v>
      </c>
      <c r="G19" s="341">
        <f t="shared" ref="G19:G38" si="0">E19*F19</f>
        <v>0</v>
      </c>
      <c r="H19" s="342">
        <f t="shared" ref="H19:H38" si="1">D19+G19</f>
        <v>0</v>
      </c>
    </row>
    <row r="20" spans="1:8" ht="12.75" customHeight="1" x14ac:dyDescent="0.2">
      <c r="A20" s="921"/>
      <c r="B20" s="264">
        <v>53201010100000</v>
      </c>
      <c r="C20" s="348" t="s">
        <v>175</v>
      </c>
      <c r="D20" s="349">
        <v>0</v>
      </c>
      <c r="E20" s="344">
        <v>0</v>
      </c>
      <c r="F20" s="345">
        <v>0</v>
      </c>
      <c r="G20" s="341">
        <f t="shared" si="0"/>
        <v>0</v>
      </c>
      <c r="H20" s="342">
        <f t="shared" si="1"/>
        <v>0</v>
      </c>
    </row>
    <row r="21" spans="1:8" ht="12.75" customHeight="1" x14ac:dyDescent="0.2">
      <c r="A21" s="921"/>
      <c r="B21" s="264">
        <v>53201010100000</v>
      </c>
      <c r="C21" s="348" t="s">
        <v>176</v>
      </c>
      <c r="D21" s="349">
        <v>0</v>
      </c>
      <c r="E21" s="344">
        <v>0</v>
      </c>
      <c r="F21" s="350">
        <v>0</v>
      </c>
      <c r="G21" s="341">
        <f t="shared" si="0"/>
        <v>0</v>
      </c>
      <c r="H21" s="342">
        <f t="shared" si="1"/>
        <v>0</v>
      </c>
    </row>
    <row r="22" spans="1:8" ht="12.75" customHeight="1" x14ac:dyDescent="0.2">
      <c r="A22" s="921"/>
      <c r="B22" s="264">
        <v>53202010100000</v>
      </c>
      <c r="C22" s="281" t="s">
        <v>177</v>
      </c>
      <c r="D22" s="351">
        <v>0</v>
      </c>
      <c r="E22" s="351">
        <v>0</v>
      </c>
      <c r="F22" s="352">
        <v>0</v>
      </c>
      <c r="G22" s="341">
        <f t="shared" si="0"/>
        <v>0</v>
      </c>
      <c r="H22" s="342">
        <f t="shared" si="1"/>
        <v>0</v>
      </c>
    </row>
    <row r="23" spans="1:8" ht="12.75" customHeight="1" x14ac:dyDescent="0.2">
      <c r="A23" s="921"/>
      <c r="B23" s="264">
        <v>53203010100000</v>
      </c>
      <c r="C23" s="281" t="s">
        <v>19</v>
      </c>
      <c r="D23" s="353">
        <v>0</v>
      </c>
      <c r="E23" s="353">
        <v>0</v>
      </c>
      <c r="F23" s="354">
        <v>0</v>
      </c>
      <c r="G23" s="341">
        <f t="shared" si="0"/>
        <v>0</v>
      </c>
      <c r="H23" s="342">
        <f t="shared" si="1"/>
        <v>0</v>
      </c>
    </row>
    <row r="24" spans="1:8" ht="12.75" customHeight="1" x14ac:dyDescent="0.2">
      <c r="A24" s="921"/>
      <c r="B24" s="264">
        <v>53203030000000</v>
      </c>
      <c r="C24" s="281" t="s">
        <v>178</v>
      </c>
      <c r="D24" s="353">
        <v>0</v>
      </c>
      <c r="E24" s="353">
        <v>0</v>
      </c>
      <c r="F24" s="354">
        <v>0</v>
      </c>
      <c r="G24" s="341">
        <f t="shared" si="0"/>
        <v>0</v>
      </c>
      <c r="H24" s="342">
        <f t="shared" si="1"/>
        <v>0</v>
      </c>
    </row>
    <row r="25" spans="1:8" ht="12.75" customHeight="1" x14ac:dyDescent="0.2">
      <c r="A25" s="921"/>
      <c r="B25" s="264">
        <v>53204030000000</v>
      </c>
      <c r="C25" s="281" t="s">
        <v>220</v>
      </c>
      <c r="D25" s="353">
        <v>0</v>
      </c>
      <c r="E25" s="353">
        <f>5000*1.045</f>
        <v>5225</v>
      </c>
      <c r="F25" s="354">
        <v>4</v>
      </c>
      <c r="G25" s="341">
        <f t="shared" si="0"/>
        <v>20900</v>
      </c>
      <c r="H25" s="342">
        <f>D25+G25</f>
        <v>20900</v>
      </c>
    </row>
    <row r="26" spans="1:8" ht="12.75" customHeight="1" x14ac:dyDescent="0.2">
      <c r="A26" s="921"/>
      <c r="B26" s="264">
        <v>53204100100001</v>
      </c>
      <c r="C26" s="281" t="s">
        <v>22</v>
      </c>
      <c r="D26" s="353">
        <f>399897+3500000</f>
        <v>3899897</v>
      </c>
      <c r="E26" s="353">
        <v>0</v>
      </c>
      <c r="F26" s="354">
        <v>0</v>
      </c>
      <c r="G26" s="341">
        <f t="shared" si="0"/>
        <v>0</v>
      </c>
      <c r="H26" s="342">
        <f t="shared" si="1"/>
        <v>3899897</v>
      </c>
    </row>
    <row r="27" spans="1:8" ht="12.75" customHeight="1" x14ac:dyDescent="0.2">
      <c r="A27" s="921"/>
      <c r="B27" s="264">
        <v>53204130100000</v>
      </c>
      <c r="C27" s="281" t="s">
        <v>180</v>
      </c>
      <c r="D27" s="353">
        <v>0</v>
      </c>
      <c r="E27" s="353">
        <v>0</v>
      </c>
      <c r="F27" s="354">
        <v>0</v>
      </c>
      <c r="G27" s="341">
        <f t="shared" si="0"/>
        <v>0</v>
      </c>
      <c r="H27" s="342">
        <f t="shared" si="1"/>
        <v>0</v>
      </c>
    </row>
    <row r="28" spans="1:8" ht="12.75" customHeight="1" x14ac:dyDescent="0.2">
      <c r="A28" s="921"/>
      <c r="B28" s="264">
        <v>53205010100000</v>
      </c>
      <c r="C28" s="281" t="s">
        <v>24</v>
      </c>
      <c r="D28" s="353">
        <f>30000*12*1.045</f>
        <v>376200</v>
      </c>
      <c r="E28" s="353">
        <v>0</v>
      </c>
      <c r="F28" s="354">
        <v>0</v>
      </c>
      <c r="G28" s="341">
        <f t="shared" si="0"/>
        <v>0</v>
      </c>
      <c r="H28" s="342">
        <f t="shared" si="1"/>
        <v>376200</v>
      </c>
    </row>
    <row r="29" spans="1:8" ht="12.75" customHeight="1" x14ac:dyDescent="0.2">
      <c r="A29" s="921"/>
      <c r="B29" s="264">
        <v>53205020100000</v>
      </c>
      <c r="C29" s="281" t="s">
        <v>25</v>
      </c>
      <c r="D29" s="353">
        <v>0</v>
      </c>
      <c r="E29" s="353">
        <f>1385*1.19*1.045</f>
        <v>1722.3167499999997</v>
      </c>
      <c r="F29" s="354">
        <v>75</v>
      </c>
      <c r="G29" s="341">
        <f t="shared" si="0"/>
        <v>129173.75624999998</v>
      </c>
      <c r="H29" s="342">
        <f t="shared" si="1"/>
        <v>129173.75624999998</v>
      </c>
    </row>
    <row r="30" spans="1:8" ht="12.75" customHeight="1" x14ac:dyDescent="0.2">
      <c r="A30" s="921"/>
      <c r="B30" s="264">
        <v>53205030100000</v>
      </c>
      <c r="C30" s="281" t="s">
        <v>26</v>
      </c>
      <c r="D30" s="353">
        <v>0</v>
      </c>
      <c r="E30" s="353">
        <f>72000*1.045</f>
        <v>75240</v>
      </c>
      <c r="F30" s="354">
        <v>20</v>
      </c>
      <c r="G30" s="341">
        <f t="shared" si="0"/>
        <v>1504800</v>
      </c>
      <c r="H30" s="342">
        <f t="shared" si="1"/>
        <v>1504800</v>
      </c>
    </row>
    <row r="31" spans="1:8" ht="12.75" customHeight="1" x14ac:dyDescent="0.2">
      <c r="A31" s="921"/>
      <c r="B31" s="264">
        <v>53205050100000</v>
      </c>
      <c r="C31" s="281" t="s">
        <v>27</v>
      </c>
      <c r="D31" s="353">
        <v>0</v>
      </c>
      <c r="E31" s="353">
        <v>0</v>
      </c>
      <c r="F31" s="354">
        <v>0</v>
      </c>
      <c r="G31" s="341">
        <f t="shared" si="0"/>
        <v>0</v>
      </c>
      <c r="H31" s="342">
        <f t="shared" si="1"/>
        <v>0</v>
      </c>
    </row>
    <row r="32" spans="1:8" ht="12.75" customHeight="1" x14ac:dyDescent="0.2">
      <c r="A32" s="921"/>
      <c r="B32" s="264">
        <v>53205070100000</v>
      </c>
      <c r="C32" s="281" t="s">
        <v>29</v>
      </c>
      <c r="D32" s="353">
        <v>0</v>
      </c>
      <c r="E32" s="353">
        <v>0</v>
      </c>
      <c r="F32" s="354">
        <v>0</v>
      </c>
      <c r="G32" s="341">
        <f t="shared" si="0"/>
        <v>0</v>
      </c>
      <c r="H32" s="342">
        <f t="shared" si="1"/>
        <v>0</v>
      </c>
    </row>
    <row r="33" spans="1:8" ht="12.75" customHeight="1" x14ac:dyDescent="0.2">
      <c r="A33" s="921"/>
      <c r="B33" s="264">
        <v>53208010100000</v>
      </c>
      <c r="C33" s="281" t="s">
        <v>30</v>
      </c>
      <c r="D33" s="353">
        <v>0</v>
      </c>
      <c r="E33" s="353">
        <v>0</v>
      </c>
      <c r="F33" s="354">
        <v>0</v>
      </c>
      <c r="G33" s="341">
        <f t="shared" si="0"/>
        <v>0</v>
      </c>
      <c r="H33" s="342">
        <f t="shared" si="1"/>
        <v>0</v>
      </c>
    </row>
    <row r="34" spans="1:8" ht="12.75" customHeight="1" x14ac:dyDescent="0.2">
      <c r="A34" s="921"/>
      <c r="B34" s="264">
        <v>53208070100001</v>
      </c>
      <c r="C34" s="281" t="s">
        <v>31</v>
      </c>
      <c r="D34" s="355">
        <v>0</v>
      </c>
      <c r="E34" s="355">
        <v>0</v>
      </c>
      <c r="F34" s="352">
        <v>0</v>
      </c>
      <c r="G34" s="341">
        <f t="shared" si="0"/>
        <v>0</v>
      </c>
      <c r="H34" s="342">
        <f t="shared" si="1"/>
        <v>0</v>
      </c>
    </row>
    <row r="35" spans="1:8" ht="12.75" customHeight="1" x14ac:dyDescent="0.2">
      <c r="A35" s="921"/>
      <c r="B35" s="264">
        <v>53208100100001</v>
      </c>
      <c r="C35" s="281" t="s">
        <v>181</v>
      </c>
      <c r="D35" s="353">
        <v>0</v>
      </c>
      <c r="E35" s="353">
        <v>0</v>
      </c>
      <c r="F35" s="354">
        <v>0</v>
      </c>
      <c r="G35" s="341">
        <f t="shared" si="0"/>
        <v>0</v>
      </c>
      <c r="H35" s="342">
        <f t="shared" si="1"/>
        <v>0</v>
      </c>
    </row>
    <row r="36" spans="1:8" ht="12.75" customHeight="1" x14ac:dyDescent="0.2">
      <c r="A36" s="921"/>
      <c r="B36" s="264">
        <v>53211030000000</v>
      </c>
      <c r="C36" s="281" t="s">
        <v>32</v>
      </c>
      <c r="D36" s="353">
        <v>0</v>
      </c>
      <c r="E36" s="353">
        <v>0</v>
      </c>
      <c r="F36" s="354">
        <v>0</v>
      </c>
      <c r="G36" s="341">
        <f t="shared" si="0"/>
        <v>0</v>
      </c>
      <c r="H36" s="342">
        <f t="shared" si="1"/>
        <v>0</v>
      </c>
    </row>
    <row r="37" spans="1:8" ht="12.75" customHeight="1" x14ac:dyDescent="0.2">
      <c r="A37" s="921"/>
      <c r="B37" s="264">
        <v>53212020100000</v>
      </c>
      <c r="C37" s="281" t="s">
        <v>182</v>
      </c>
      <c r="D37" s="353">
        <v>59918</v>
      </c>
      <c r="E37" s="353">
        <v>0</v>
      </c>
      <c r="F37" s="354">
        <v>0</v>
      </c>
      <c r="G37" s="341">
        <f t="shared" si="0"/>
        <v>0</v>
      </c>
      <c r="H37" s="342">
        <f t="shared" si="1"/>
        <v>59918</v>
      </c>
    </row>
    <row r="38" spans="1:8" ht="12.75" customHeight="1" x14ac:dyDescent="0.2">
      <c r="A38" s="921"/>
      <c r="B38" s="264">
        <v>53214020000000</v>
      </c>
      <c r="C38" s="281" t="s">
        <v>183</v>
      </c>
      <c r="D38" s="355">
        <v>0</v>
      </c>
      <c r="E38" s="355">
        <v>0</v>
      </c>
      <c r="F38" s="352">
        <v>0</v>
      </c>
      <c r="G38" s="341">
        <f t="shared" si="0"/>
        <v>0</v>
      </c>
      <c r="H38" s="342">
        <f t="shared" si="1"/>
        <v>0</v>
      </c>
    </row>
    <row r="39" spans="1:8" ht="12.75" customHeight="1" x14ac:dyDescent="0.2">
      <c r="A39" s="921"/>
      <c r="B39" s="356"/>
      <c r="C39" s="357" t="s">
        <v>34</v>
      </c>
      <c r="D39" s="358">
        <f>+D40+D45+D47+D56+D65+D73</f>
        <v>4898529.5</v>
      </c>
      <c r="E39" s="359"/>
      <c r="F39" s="359"/>
      <c r="G39" s="358">
        <f>+G40+G45+G47+G56+G65+G73</f>
        <v>1838325</v>
      </c>
      <c r="H39" s="360">
        <f>+H40+H45+H47+H56+H65+H73</f>
        <v>6736854.5</v>
      </c>
    </row>
    <row r="40" spans="1:8" ht="12.75" customHeight="1" x14ac:dyDescent="0.2">
      <c r="A40" s="921"/>
      <c r="B40" s="263"/>
      <c r="C40" s="334" t="s">
        <v>35</v>
      </c>
      <c r="D40" s="346">
        <f>SUM(D41:D44)</f>
        <v>0</v>
      </c>
      <c r="E40" s="361"/>
      <c r="F40" s="361"/>
      <c r="G40" s="362">
        <f>SUM(G41:G44)</f>
        <v>285000</v>
      </c>
      <c r="H40" s="363">
        <f>SUM(H41:H44)</f>
        <v>285000</v>
      </c>
    </row>
    <row r="41" spans="1:8" ht="12.75" customHeight="1" x14ac:dyDescent="0.2">
      <c r="A41" s="921"/>
      <c r="B41" s="264">
        <v>53202020100000</v>
      </c>
      <c r="C41" s="281" t="s">
        <v>184</v>
      </c>
      <c r="D41" s="343">
        <v>0</v>
      </c>
      <c r="E41" s="344">
        <v>50000</v>
      </c>
      <c r="F41" s="350">
        <v>5</v>
      </c>
      <c r="G41" s="341">
        <f>E41*F41</f>
        <v>250000</v>
      </c>
      <c r="H41" s="342">
        <f t="shared" ref="H41:H74" si="2">D41+G41</f>
        <v>250000</v>
      </c>
    </row>
    <row r="42" spans="1:8" ht="12.75" customHeight="1" x14ac:dyDescent="0.2">
      <c r="A42" s="921"/>
      <c r="B42" s="264">
        <v>53202030000000</v>
      </c>
      <c r="C42" s="281" t="s">
        <v>185</v>
      </c>
      <c r="D42" s="343">
        <v>0</v>
      </c>
      <c r="E42" s="344">
        <v>35000</v>
      </c>
      <c r="F42" s="350">
        <v>1</v>
      </c>
      <c r="G42" s="341">
        <f t="shared" ref="G42:G74" si="3">E42*F42</f>
        <v>35000</v>
      </c>
      <c r="H42" s="342">
        <f t="shared" si="2"/>
        <v>35000</v>
      </c>
    </row>
    <row r="43" spans="1:8" ht="12.75" customHeight="1" x14ac:dyDescent="0.2">
      <c r="A43" s="921"/>
      <c r="B43" s="264">
        <v>53211020000000</v>
      </c>
      <c r="C43" s="281" t="s">
        <v>41</v>
      </c>
      <c r="D43" s="353">
        <v>0</v>
      </c>
      <c r="E43" s="353">
        <v>0</v>
      </c>
      <c r="F43" s="354">
        <v>0</v>
      </c>
      <c r="G43" s="341">
        <f t="shared" si="3"/>
        <v>0</v>
      </c>
      <c r="H43" s="342">
        <f t="shared" si="2"/>
        <v>0</v>
      </c>
    </row>
    <row r="44" spans="1:8" ht="12.75" customHeight="1" x14ac:dyDescent="0.2">
      <c r="A44" s="921"/>
      <c r="B44" s="264">
        <v>53101040600000</v>
      </c>
      <c r="C44" s="281" t="s">
        <v>186</v>
      </c>
      <c r="D44" s="353">
        <v>0</v>
      </c>
      <c r="E44" s="353">
        <v>0</v>
      </c>
      <c r="F44" s="354">
        <v>0</v>
      </c>
      <c r="G44" s="341">
        <f t="shared" si="3"/>
        <v>0</v>
      </c>
      <c r="H44" s="342">
        <f t="shared" si="2"/>
        <v>0</v>
      </c>
    </row>
    <row r="45" spans="1:8" ht="12.75" customHeight="1" x14ac:dyDescent="0.2">
      <c r="A45" s="921"/>
      <c r="B45" s="263"/>
      <c r="C45" s="334" t="s">
        <v>42</v>
      </c>
      <c r="D45" s="346">
        <f>SUM(D46)</f>
        <v>0</v>
      </c>
      <c r="E45" s="361"/>
      <c r="F45" s="364"/>
      <c r="G45" s="362">
        <f>SUM(G46:G46)</f>
        <v>0</v>
      </c>
      <c r="H45" s="363">
        <f>SUM(H46:H46)</f>
        <v>0</v>
      </c>
    </row>
    <row r="46" spans="1:8" ht="12.75" customHeight="1" x14ac:dyDescent="0.2">
      <c r="A46" s="921"/>
      <c r="B46" s="267">
        <v>53205990000000</v>
      </c>
      <c r="C46" s="281" t="s">
        <v>44</v>
      </c>
      <c r="D46" s="353">
        <v>0</v>
      </c>
      <c r="E46" s="353">
        <v>0</v>
      </c>
      <c r="F46" s="354">
        <v>0</v>
      </c>
      <c r="G46" s="341">
        <f t="shared" si="3"/>
        <v>0</v>
      </c>
      <c r="H46" s="342">
        <f t="shared" si="2"/>
        <v>0</v>
      </c>
    </row>
    <row r="47" spans="1:8" ht="12.75" customHeight="1" x14ac:dyDescent="0.2">
      <c r="A47" s="921"/>
      <c r="B47" s="263"/>
      <c r="C47" s="334" t="s">
        <v>45</v>
      </c>
      <c r="D47" s="346">
        <f>SUM(D48:D55)</f>
        <v>4198529.5</v>
      </c>
      <c r="E47" s="361"/>
      <c r="F47" s="364"/>
      <c r="G47" s="335">
        <f>SUM(G48:G55)</f>
        <v>0</v>
      </c>
      <c r="H47" s="314">
        <f>SUM(H48:H55)</f>
        <v>4198529.5</v>
      </c>
    </row>
    <row r="48" spans="1:8" ht="12.75" customHeight="1" x14ac:dyDescent="0.2">
      <c r="A48" s="921"/>
      <c r="B48" s="264">
        <v>53204010000000</v>
      </c>
      <c r="C48" s="281" t="s">
        <v>47</v>
      </c>
      <c r="D48" s="353">
        <v>71367.600000000006</v>
      </c>
      <c r="E48" s="353">
        <v>0</v>
      </c>
      <c r="F48" s="354">
        <v>0</v>
      </c>
      <c r="G48" s="341">
        <f t="shared" si="3"/>
        <v>0</v>
      </c>
      <c r="H48" s="342">
        <f t="shared" si="2"/>
        <v>71367.600000000006</v>
      </c>
    </row>
    <row r="49" spans="1:8" ht="12.75" customHeight="1" x14ac:dyDescent="0.2">
      <c r="A49" s="921"/>
      <c r="B49" s="267">
        <v>53204040200000</v>
      </c>
      <c r="C49" s="281" t="s">
        <v>221</v>
      </c>
      <c r="D49" s="353">
        <v>300000</v>
      </c>
      <c r="E49" s="353">
        <v>0</v>
      </c>
      <c r="F49" s="354">
        <v>0</v>
      </c>
      <c r="G49" s="341">
        <f t="shared" si="3"/>
        <v>0</v>
      </c>
      <c r="H49" s="342">
        <f t="shared" si="2"/>
        <v>300000</v>
      </c>
    </row>
    <row r="50" spans="1:8" ht="12.75" customHeight="1" x14ac:dyDescent="0.2">
      <c r="A50" s="921"/>
      <c r="B50" s="264">
        <v>53204060000000</v>
      </c>
      <c r="C50" s="281" t="s">
        <v>49</v>
      </c>
      <c r="D50" s="353">
        <v>0</v>
      </c>
      <c r="E50" s="353">
        <v>0</v>
      </c>
      <c r="F50" s="354">
        <v>0</v>
      </c>
      <c r="G50" s="341">
        <f t="shared" si="3"/>
        <v>0</v>
      </c>
      <c r="H50" s="342">
        <f t="shared" si="2"/>
        <v>0</v>
      </c>
    </row>
    <row r="51" spans="1:8" ht="12.75" customHeight="1" x14ac:dyDescent="0.2">
      <c r="A51" s="921"/>
      <c r="B51" s="264">
        <v>53204070000000</v>
      </c>
      <c r="C51" s="281" t="s">
        <v>50</v>
      </c>
      <c r="D51" s="353">
        <v>1327161.9000000001</v>
      </c>
      <c r="E51" s="353">
        <v>0</v>
      </c>
      <c r="F51" s="354">
        <v>0</v>
      </c>
      <c r="G51" s="341">
        <f t="shared" si="3"/>
        <v>0</v>
      </c>
      <c r="H51" s="342">
        <f t="shared" si="2"/>
        <v>1327161.9000000001</v>
      </c>
    </row>
    <row r="52" spans="1:8" ht="12.75" customHeight="1" x14ac:dyDescent="0.2">
      <c r="A52" s="921"/>
      <c r="B52" s="264">
        <v>53204080000000</v>
      </c>
      <c r="C52" s="281" t="s">
        <v>51</v>
      </c>
      <c r="D52" s="353">
        <v>0</v>
      </c>
      <c r="E52" s="353">
        <v>0</v>
      </c>
      <c r="F52" s="354">
        <v>0</v>
      </c>
      <c r="G52" s="341">
        <f t="shared" si="3"/>
        <v>0</v>
      </c>
      <c r="H52" s="342">
        <f t="shared" si="2"/>
        <v>0</v>
      </c>
    </row>
    <row r="53" spans="1:8" ht="12.75" customHeight="1" x14ac:dyDescent="0.2">
      <c r="A53" s="921"/>
      <c r="B53" s="264">
        <v>53214010000000</v>
      </c>
      <c r="C53" s="281" t="s">
        <v>52</v>
      </c>
      <c r="D53" s="355">
        <v>2000000</v>
      </c>
      <c r="E53" s="355">
        <v>0</v>
      </c>
      <c r="F53" s="352">
        <v>0</v>
      </c>
      <c r="G53" s="341">
        <f t="shared" si="3"/>
        <v>0</v>
      </c>
      <c r="H53" s="342">
        <f t="shared" si="2"/>
        <v>2000000</v>
      </c>
    </row>
    <row r="54" spans="1:8" ht="12.75" customHeight="1" x14ac:dyDescent="0.2">
      <c r="A54" s="921"/>
      <c r="B54" s="264">
        <v>53214040000000</v>
      </c>
      <c r="C54" s="281" t="s">
        <v>187</v>
      </c>
      <c r="D54" s="355">
        <v>0</v>
      </c>
      <c r="E54" s="355">
        <v>0</v>
      </c>
      <c r="F54" s="352">
        <v>0</v>
      </c>
      <c r="G54" s="341">
        <f t="shared" si="3"/>
        <v>0</v>
      </c>
      <c r="H54" s="342">
        <f t="shared" si="2"/>
        <v>0</v>
      </c>
    </row>
    <row r="55" spans="1:8" ht="12.75" customHeight="1" x14ac:dyDescent="0.2">
      <c r="A55" s="921"/>
      <c r="B55" s="265">
        <v>53204020100000</v>
      </c>
      <c r="C55" s="281" t="s">
        <v>179</v>
      </c>
      <c r="D55" s="353">
        <v>500000</v>
      </c>
      <c r="E55" s="353">
        <v>0</v>
      </c>
      <c r="F55" s="354">
        <v>0</v>
      </c>
      <c r="G55" s="341">
        <f t="shared" si="3"/>
        <v>0</v>
      </c>
      <c r="H55" s="342">
        <f t="shared" si="2"/>
        <v>500000</v>
      </c>
    </row>
    <row r="56" spans="1:8" ht="12.75" customHeight="1" x14ac:dyDescent="0.2">
      <c r="A56" s="921"/>
      <c r="B56" s="263"/>
      <c r="C56" s="334" t="s">
        <v>55</v>
      </c>
      <c r="D56" s="346">
        <f>SUM(D57:D64)</f>
        <v>0</v>
      </c>
      <c r="E56" s="361"/>
      <c r="F56" s="364"/>
      <c r="G56" s="335">
        <f>SUM(G57:G64)</f>
        <v>1553325</v>
      </c>
      <c r="H56" s="314">
        <f>SUM(H57:H64)</f>
        <v>1553325</v>
      </c>
    </row>
    <row r="57" spans="1:8" ht="12.75" customHeight="1" x14ac:dyDescent="0.2">
      <c r="A57" s="921"/>
      <c r="B57" s="264">
        <v>53207010000000</v>
      </c>
      <c r="C57" s="281" t="s">
        <v>56</v>
      </c>
      <c r="D57" s="353">
        <v>0</v>
      </c>
      <c r="E57" s="353">
        <v>0</v>
      </c>
      <c r="F57" s="354">
        <v>0</v>
      </c>
      <c r="G57" s="341">
        <f t="shared" si="3"/>
        <v>0</v>
      </c>
      <c r="H57" s="342">
        <f t="shared" si="2"/>
        <v>0</v>
      </c>
    </row>
    <row r="58" spans="1:8" ht="12.75" customHeight="1" x14ac:dyDescent="0.2">
      <c r="A58" s="921"/>
      <c r="B58" s="264">
        <v>53207020000000</v>
      </c>
      <c r="C58" s="281" t="s">
        <v>57</v>
      </c>
      <c r="D58" s="353">
        <v>0</v>
      </c>
      <c r="E58" s="353">
        <v>0</v>
      </c>
      <c r="F58" s="354">
        <v>0</v>
      </c>
      <c r="G58" s="341">
        <f t="shared" si="3"/>
        <v>0</v>
      </c>
      <c r="H58" s="342">
        <f t="shared" si="2"/>
        <v>0</v>
      </c>
    </row>
    <row r="59" spans="1:8" ht="12.75" customHeight="1" x14ac:dyDescent="0.2">
      <c r="A59" s="921"/>
      <c r="B59" s="264">
        <v>53208020000000</v>
      </c>
      <c r="C59" s="281" t="s">
        <v>170</v>
      </c>
      <c r="D59" s="353">
        <v>0</v>
      </c>
      <c r="E59" s="353">
        <v>0</v>
      </c>
      <c r="F59" s="354">
        <v>0</v>
      </c>
      <c r="G59" s="341">
        <f t="shared" si="3"/>
        <v>0</v>
      </c>
      <c r="H59" s="342">
        <f t="shared" si="2"/>
        <v>0</v>
      </c>
    </row>
    <row r="60" spans="1:8" ht="12.75" customHeight="1" x14ac:dyDescent="0.2">
      <c r="A60" s="921"/>
      <c r="B60" s="264">
        <v>53208990000000</v>
      </c>
      <c r="C60" s="281" t="s">
        <v>188</v>
      </c>
      <c r="D60" s="353">
        <v>0</v>
      </c>
      <c r="E60" s="353">
        <f>110000*1.19*1.05</f>
        <v>137445</v>
      </c>
      <c r="F60" s="354">
        <v>10</v>
      </c>
      <c r="G60" s="341">
        <f t="shared" si="3"/>
        <v>1374450</v>
      </c>
      <c r="H60" s="342">
        <f t="shared" si="2"/>
        <v>1374450</v>
      </c>
    </row>
    <row r="61" spans="1:8" ht="12.75" customHeight="1" x14ac:dyDescent="0.2">
      <c r="A61" s="921"/>
      <c r="B61" s="265">
        <v>53210020300000</v>
      </c>
      <c r="C61" s="281" t="s">
        <v>190</v>
      </c>
      <c r="D61" s="532">
        <v>0</v>
      </c>
      <c r="E61" s="532">
        <v>7155</v>
      </c>
      <c r="F61" s="533">
        <f>+'B) Reajuste Tarifas y Ocupación'!I28</f>
        <v>25</v>
      </c>
      <c r="G61" s="341">
        <f t="shared" si="3"/>
        <v>178875</v>
      </c>
      <c r="H61" s="342">
        <f t="shared" si="2"/>
        <v>178875</v>
      </c>
    </row>
    <row r="62" spans="1:8" ht="12.75" customHeight="1" x14ac:dyDescent="0.2">
      <c r="A62" s="921"/>
      <c r="B62" s="264">
        <v>53208990000000</v>
      </c>
      <c r="C62" s="281" t="s">
        <v>191</v>
      </c>
      <c r="D62" s="353">
        <v>0</v>
      </c>
      <c r="E62" s="353">
        <v>0</v>
      </c>
      <c r="F62" s="354">
        <v>0</v>
      </c>
      <c r="G62" s="341">
        <f t="shared" si="3"/>
        <v>0</v>
      </c>
      <c r="H62" s="342">
        <f t="shared" si="2"/>
        <v>0</v>
      </c>
    </row>
    <row r="63" spans="1:8" ht="12.75" customHeight="1" x14ac:dyDescent="0.2">
      <c r="A63" s="921"/>
      <c r="B63" s="264">
        <v>53209990000000</v>
      </c>
      <c r="C63" s="281" t="s">
        <v>189</v>
      </c>
      <c r="D63" s="353">
        <v>0</v>
      </c>
      <c r="E63" s="353">
        <v>0</v>
      </c>
      <c r="F63" s="354">
        <v>0</v>
      </c>
      <c r="G63" s="341">
        <f t="shared" si="3"/>
        <v>0</v>
      </c>
      <c r="H63" s="342">
        <f t="shared" si="2"/>
        <v>0</v>
      </c>
    </row>
    <row r="64" spans="1:8" ht="12.75" customHeight="1" x14ac:dyDescent="0.2">
      <c r="A64" s="921"/>
      <c r="B64" s="264">
        <v>53210020100000</v>
      </c>
      <c r="C64" s="281" t="s">
        <v>64</v>
      </c>
      <c r="D64" s="648">
        <v>0</v>
      </c>
      <c r="E64" s="353">
        <v>0</v>
      </c>
      <c r="F64" s="354">
        <v>0</v>
      </c>
      <c r="G64" s="341">
        <f t="shared" si="3"/>
        <v>0</v>
      </c>
      <c r="H64" s="342">
        <f t="shared" si="2"/>
        <v>0</v>
      </c>
    </row>
    <row r="65" spans="1:16" ht="12.75" customHeight="1" x14ac:dyDescent="0.2">
      <c r="A65" s="921"/>
      <c r="B65" s="263"/>
      <c r="C65" s="334" t="s">
        <v>65</v>
      </c>
      <c r="D65" s="346">
        <f>SUM(D66:D72)</f>
        <v>700000</v>
      </c>
      <c r="E65" s="361"/>
      <c r="F65" s="364"/>
      <c r="G65" s="335">
        <f>SUM(G66:G72)</f>
        <v>0</v>
      </c>
      <c r="H65" s="314">
        <f>SUM(H66:H72)</f>
        <v>700000</v>
      </c>
    </row>
    <row r="66" spans="1:16" ht="12.75" customHeight="1" x14ac:dyDescent="0.2">
      <c r="A66" s="921"/>
      <c r="B66" s="264">
        <v>53206030000000</v>
      </c>
      <c r="C66" s="281" t="s">
        <v>99</v>
      </c>
      <c r="D66" s="353">
        <v>0</v>
      </c>
      <c r="E66" s="353">
        <v>0</v>
      </c>
      <c r="F66" s="354">
        <v>0</v>
      </c>
      <c r="G66" s="341">
        <f t="shared" si="3"/>
        <v>0</v>
      </c>
      <c r="H66" s="342">
        <f t="shared" si="2"/>
        <v>0</v>
      </c>
    </row>
    <row r="67" spans="1:16" ht="12.75" customHeight="1" x14ac:dyDescent="0.2">
      <c r="A67" s="921"/>
      <c r="B67" s="264">
        <v>53206040000000</v>
      </c>
      <c r="C67" s="281" t="s">
        <v>100</v>
      </c>
      <c r="D67" s="353">
        <v>0</v>
      </c>
      <c r="E67" s="353">
        <v>0</v>
      </c>
      <c r="F67" s="354">
        <v>0</v>
      </c>
      <c r="G67" s="341">
        <f t="shared" si="3"/>
        <v>0</v>
      </c>
      <c r="H67" s="342">
        <f t="shared" si="2"/>
        <v>0</v>
      </c>
    </row>
    <row r="68" spans="1:16" ht="12.75" customHeight="1" x14ac:dyDescent="0.2">
      <c r="A68" s="921"/>
      <c r="B68" s="264">
        <v>53206060000000</v>
      </c>
      <c r="C68" s="281" t="s">
        <v>192</v>
      </c>
      <c r="D68" s="353">
        <v>0</v>
      </c>
      <c r="E68" s="353">
        <v>0</v>
      </c>
      <c r="F68" s="354">
        <v>0</v>
      </c>
      <c r="G68" s="341">
        <f t="shared" si="3"/>
        <v>0</v>
      </c>
      <c r="H68" s="342">
        <f t="shared" si="2"/>
        <v>0</v>
      </c>
    </row>
    <row r="69" spans="1:16" ht="12.75" customHeight="1" x14ac:dyDescent="0.2">
      <c r="A69" s="921"/>
      <c r="B69" s="264">
        <v>53206070000000</v>
      </c>
      <c r="C69" s="281" t="s">
        <v>102</v>
      </c>
      <c r="D69" s="353">
        <v>0</v>
      </c>
      <c r="E69" s="353">
        <v>0</v>
      </c>
      <c r="F69" s="354">
        <v>0</v>
      </c>
      <c r="G69" s="341">
        <f t="shared" si="3"/>
        <v>0</v>
      </c>
      <c r="H69" s="342">
        <f t="shared" si="2"/>
        <v>0</v>
      </c>
    </row>
    <row r="70" spans="1:16" ht="12.75" customHeight="1" x14ac:dyDescent="0.2">
      <c r="A70" s="921"/>
      <c r="B70" s="264">
        <v>53206990000000</v>
      </c>
      <c r="C70" s="281" t="s">
        <v>193</v>
      </c>
      <c r="D70" s="353">
        <v>0</v>
      </c>
      <c r="E70" s="353">
        <v>0</v>
      </c>
      <c r="F70" s="354">
        <v>0</v>
      </c>
      <c r="G70" s="341">
        <f t="shared" si="3"/>
        <v>0</v>
      </c>
      <c r="H70" s="342">
        <f t="shared" si="2"/>
        <v>0</v>
      </c>
    </row>
    <row r="71" spans="1:16" ht="12.75" customHeight="1" x14ac:dyDescent="0.2">
      <c r="A71" s="921"/>
      <c r="B71" s="264">
        <v>53208030000000</v>
      </c>
      <c r="C71" s="281" t="s">
        <v>104</v>
      </c>
      <c r="D71" s="353">
        <v>0</v>
      </c>
      <c r="E71" s="353">
        <v>0</v>
      </c>
      <c r="F71" s="354">
        <v>0</v>
      </c>
      <c r="G71" s="341">
        <f t="shared" si="3"/>
        <v>0</v>
      </c>
      <c r="H71" s="342">
        <f t="shared" si="2"/>
        <v>0</v>
      </c>
    </row>
    <row r="72" spans="1:16" ht="12.75" customHeight="1" x14ac:dyDescent="0.2">
      <c r="A72" s="921"/>
      <c r="B72" s="264">
        <v>53206990000000</v>
      </c>
      <c r="C72" s="281" t="s">
        <v>222</v>
      </c>
      <c r="D72" s="353">
        <v>700000</v>
      </c>
      <c r="E72" s="353">
        <v>0</v>
      </c>
      <c r="F72" s="354">
        <v>0</v>
      </c>
      <c r="G72" s="341">
        <f t="shared" si="3"/>
        <v>0</v>
      </c>
      <c r="H72" s="342">
        <f t="shared" si="2"/>
        <v>700000</v>
      </c>
    </row>
    <row r="73" spans="1:16" ht="12.75" customHeight="1" x14ac:dyDescent="0.2">
      <c r="A73" s="921"/>
      <c r="B73" s="263"/>
      <c r="C73" s="334" t="s">
        <v>66</v>
      </c>
      <c r="D73" s="346">
        <f>SUM(D74)</f>
        <v>0</v>
      </c>
      <c r="E73" s="361"/>
      <c r="F73" s="361"/>
      <c r="G73" s="335">
        <f>SUM(G74:G74)</f>
        <v>0</v>
      </c>
      <c r="H73" s="314">
        <f>SUM(H74:H74)</f>
        <v>0</v>
      </c>
    </row>
    <row r="74" spans="1:16" ht="12.75" customHeight="1" x14ac:dyDescent="0.2">
      <c r="A74" s="921"/>
      <c r="B74" s="268"/>
      <c r="C74" s="306" t="s">
        <v>223</v>
      </c>
      <c r="D74" s="343">
        <v>0</v>
      </c>
      <c r="E74" s="343">
        <v>0</v>
      </c>
      <c r="F74" s="345">
        <v>0</v>
      </c>
      <c r="G74" s="341">
        <f t="shared" si="3"/>
        <v>0</v>
      </c>
      <c r="H74" s="365">
        <f t="shared" si="2"/>
        <v>0</v>
      </c>
      <c r="I74" s="331" t="s">
        <v>226</v>
      </c>
      <c r="J74" s="450">
        <f>+H72+H71+H70+H69+H68+H67+H66+H64+H63+H62+H61+H60+H59+H58+H57+H55+H52+H51+H50+H49+H48+H46+H44+H43+H37+H36+H35+H33+H32+H31+H30+H29+H28+H27+H26+H25+H24+H23</f>
        <v>10442743.25625</v>
      </c>
    </row>
    <row r="75" spans="1:16" ht="12.75" customHeight="1" thickBot="1" x14ac:dyDescent="0.25">
      <c r="A75" s="922"/>
      <c r="B75" s="366"/>
      <c r="C75" s="367" t="s">
        <v>105</v>
      </c>
      <c r="D75" s="328">
        <f>SUM(D12,D39)</f>
        <v>41055840.698750004</v>
      </c>
      <c r="E75" s="329"/>
      <c r="F75" s="329"/>
      <c r="G75" s="328">
        <f>SUM(G12,G39)</f>
        <v>3493198.7562500001</v>
      </c>
      <c r="H75" s="368">
        <f>SUM(H12,H39)</f>
        <v>44549039.454999998</v>
      </c>
      <c r="I75" s="332" t="s">
        <v>227</v>
      </c>
      <c r="J75" s="447">
        <f>+H75-J74</f>
        <v>34106296.198749997</v>
      </c>
    </row>
    <row r="76" spans="1:16" x14ac:dyDescent="0.2">
      <c r="A76" s="898" t="s">
        <v>81</v>
      </c>
      <c r="B76" s="900" t="s">
        <v>75</v>
      </c>
      <c r="C76" s="902" t="s">
        <v>76</v>
      </c>
      <c r="D76" s="904" t="s">
        <v>77</v>
      </c>
      <c r="E76" s="906" t="s">
        <v>78</v>
      </c>
      <c r="F76" s="906"/>
      <c r="G76" s="906"/>
      <c r="H76" s="913" t="s">
        <v>262</v>
      </c>
    </row>
    <row r="77" spans="1:16" ht="40.5" customHeight="1" thickBot="1" x14ac:dyDescent="0.25">
      <c r="A77" s="899"/>
      <c r="B77" s="901"/>
      <c r="C77" s="903"/>
      <c r="D77" s="905"/>
      <c r="E77" s="369" t="s">
        <v>67</v>
      </c>
      <c r="F77" s="370" t="s">
        <v>68</v>
      </c>
      <c r="G77" s="371" t="s">
        <v>6</v>
      </c>
      <c r="H77" s="914"/>
    </row>
    <row r="78" spans="1:16" ht="18" customHeight="1" x14ac:dyDescent="0.2">
      <c r="A78" s="920" t="str">
        <f>'B) Reajuste Tarifas y Ocupación'!A14</f>
        <v>Jardín Infantil Burbujitas de Mar</v>
      </c>
      <c r="B78" s="307"/>
      <c r="C78" s="308" t="s">
        <v>11</v>
      </c>
      <c r="D78" s="309">
        <f>+D79+D84</f>
        <v>24975276.229089286</v>
      </c>
      <c r="E78" s="310"/>
      <c r="F78" s="310"/>
      <c r="G78" s="311">
        <f>SUM(G79,G84)</f>
        <v>6479197.1395302555</v>
      </c>
      <c r="H78" s="312">
        <f>SUM(H79,H84)</f>
        <v>31454473.368619546</v>
      </c>
      <c r="L78" s="909" t="s">
        <v>225</v>
      </c>
      <c r="M78" s="916" t="s">
        <v>194</v>
      </c>
      <c r="N78" s="907" t="s">
        <v>229</v>
      </c>
      <c r="O78" s="907" t="s">
        <v>219</v>
      </c>
      <c r="P78" s="907" t="s">
        <v>228</v>
      </c>
    </row>
    <row r="79" spans="1:16" x14ac:dyDescent="0.2">
      <c r="A79" s="921"/>
      <c r="B79" s="263"/>
      <c r="C79" s="296" t="s">
        <v>12</v>
      </c>
      <c r="D79" s="297">
        <f>SUM(D80:D83)</f>
        <v>18999283.636875</v>
      </c>
      <c r="E79" s="313"/>
      <c r="F79" s="313"/>
      <c r="G79" s="298">
        <f>SUM(G80:G83)</f>
        <v>0</v>
      </c>
      <c r="H79" s="314">
        <f>SUM(H80:H83)</f>
        <v>18999283.636875</v>
      </c>
      <c r="L79" s="910"/>
      <c r="M79" s="917"/>
      <c r="N79" s="908"/>
      <c r="O79" s="908"/>
      <c r="P79" s="908"/>
    </row>
    <row r="80" spans="1:16" x14ac:dyDescent="0.2">
      <c r="A80" s="921"/>
      <c r="B80" s="264">
        <v>53103040100000</v>
      </c>
      <c r="C80" s="281" t="s">
        <v>95</v>
      </c>
      <c r="D80" s="299">
        <f>+'F) Remuneraciones'!L19</f>
        <v>10499283.636875</v>
      </c>
      <c r="E80" s="300">
        <v>0</v>
      </c>
      <c r="F80" s="315">
        <v>0</v>
      </c>
      <c r="G80" s="300">
        <f>E80*F80</f>
        <v>0</v>
      </c>
      <c r="H80" s="316">
        <f>D80+G80</f>
        <v>10499283.636875</v>
      </c>
      <c r="L80" s="269" t="s">
        <v>11</v>
      </c>
      <c r="M80" s="270"/>
      <c r="N80" s="270"/>
      <c r="O80" s="270"/>
      <c r="P80" s="271"/>
    </row>
    <row r="81" spans="1:16" x14ac:dyDescent="0.2">
      <c r="A81" s="921"/>
      <c r="B81" s="264">
        <v>53103050000000</v>
      </c>
      <c r="C81" s="281" t="s">
        <v>171</v>
      </c>
      <c r="D81" s="301">
        <v>0</v>
      </c>
      <c r="E81" s="302">
        <v>0</v>
      </c>
      <c r="F81" s="303">
        <v>0</v>
      </c>
      <c r="G81" s="300">
        <f>E81*F81</f>
        <v>0</v>
      </c>
      <c r="H81" s="316">
        <f>D81+G81</f>
        <v>0</v>
      </c>
      <c r="L81" s="279" t="s">
        <v>16</v>
      </c>
      <c r="M81" s="272"/>
      <c r="N81" s="273"/>
      <c r="O81" s="273"/>
      <c r="P81" s="274"/>
    </row>
    <row r="82" spans="1:16" x14ac:dyDescent="0.2">
      <c r="A82" s="921"/>
      <c r="B82" s="265">
        <v>53103040400000</v>
      </c>
      <c r="C82" s="266" t="s">
        <v>172</v>
      </c>
      <c r="D82" s="301">
        <v>8500000</v>
      </c>
      <c r="E82" s="302">
        <v>0</v>
      </c>
      <c r="F82" s="303">
        <v>0</v>
      </c>
      <c r="G82" s="300">
        <f>E82*F82</f>
        <v>0</v>
      </c>
      <c r="H82" s="316">
        <f>D82+G82</f>
        <v>8500000</v>
      </c>
      <c r="L82" s="281" t="s">
        <v>177</v>
      </c>
      <c r="M82" s="275">
        <v>3000000</v>
      </c>
      <c r="N82" s="276">
        <f>+M82*0.6</f>
        <v>1800000</v>
      </c>
      <c r="O82" s="276">
        <f>+M82*0.2</f>
        <v>600000</v>
      </c>
      <c r="P82" s="277">
        <f>+M82*0.2</f>
        <v>600000</v>
      </c>
    </row>
    <row r="83" spans="1:16" x14ac:dyDescent="0.2">
      <c r="A83" s="921"/>
      <c r="B83" s="264">
        <v>53103080010000</v>
      </c>
      <c r="C83" s="281" t="s">
        <v>173</v>
      </c>
      <c r="D83" s="301">
        <v>0</v>
      </c>
      <c r="E83" s="302">
        <v>0</v>
      </c>
      <c r="F83" s="303">
        <v>0</v>
      </c>
      <c r="G83" s="300">
        <f>E83*F83</f>
        <v>0</v>
      </c>
      <c r="H83" s="316">
        <f>D83+G83</f>
        <v>0</v>
      </c>
      <c r="L83" s="281" t="s">
        <v>19</v>
      </c>
      <c r="M83" s="278">
        <v>1390548.0102380952</v>
      </c>
      <c r="N83" s="276">
        <f t="shared" ref="N83:N98" si="4">+M83*0.6</f>
        <v>834328.80614285707</v>
      </c>
      <c r="O83" s="276">
        <f t="shared" ref="O83:O98" si="5">+M83*0.2</f>
        <v>278109.60204761906</v>
      </c>
      <c r="P83" s="277">
        <f t="shared" ref="P83:P98" si="6">+M83*0.2</f>
        <v>278109.60204761906</v>
      </c>
    </row>
    <row r="84" spans="1:16" x14ac:dyDescent="0.2">
      <c r="A84" s="921"/>
      <c r="B84" s="263"/>
      <c r="C84" s="296" t="s">
        <v>16</v>
      </c>
      <c r="D84" s="297">
        <f>SUM(D85:D104)</f>
        <v>5975992.5922142863</v>
      </c>
      <c r="E84" s="313"/>
      <c r="F84" s="313"/>
      <c r="G84" s="297">
        <f>SUM(G85:G104)</f>
        <v>6479197.1395302555</v>
      </c>
      <c r="H84" s="314">
        <f>SUM(H85:H104)</f>
        <v>12455189.731744545</v>
      </c>
      <c r="L84" s="281" t="s">
        <v>178</v>
      </c>
      <c r="M84" s="278">
        <v>0</v>
      </c>
      <c r="N84" s="276">
        <f t="shared" si="4"/>
        <v>0</v>
      </c>
      <c r="O84" s="276">
        <f t="shared" si="5"/>
        <v>0</v>
      </c>
      <c r="P84" s="277">
        <f t="shared" si="6"/>
        <v>0</v>
      </c>
    </row>
    <row r="85" spans="1:16" x14ac:dyDescent="0.2">
      <c r="A85" s="921"/>
      <c r="B85" s="264">
        <v>53201010100000</v>
      </c>
      <c r="C85" s="304" t="s">
        <v>174</v>
      </c>
      <c r="D85" s="301">
        <v>0</v>
      </c>
      <c r="E85" s="302">
        <v>2538</v>
      </c>
      <c r="F85" s="303">
        <v>660</v>
      </c>
      <c r="G85" s="300">
        <f t="shared" ref="G85:G104" si="7">E85*F85</f>
        <v>1675080</v>
      </c>
      <c r="H85" s="316">
        <f t="shared" ref="H85:H90" si="8">D85+G85</f>
        <v>1675080</v>
      </c>
      <c r="L85" s="281" t="s">
        <v>220</v>
      </c>
      <c r="M85" s="278">
        <v>500000</v>
      </c>
      <c r="N85" s="276">
        <f t="shared" si="4"/>
        <v>300000</v>
      </c>
      <c r="O85" s="276">
        <f t="shared" si="5"/>
        <v>100000</v>
      </c>
      <c r="P85" s="277">
        <f t="shared" si="6"/>
        <v>100000</v>
      </c>
    </row>
    <row r="86" spans="1:16" x14ac:dyDescent="0.2">
      <c r="A86" s="921"/>
      <c r="B86" s="264">
        <v>53201010100000</v>
      </c>
      <c r="C86" s="304" t="s">
        <v>175</v>
      </c>
      <c r="D86" s="301">
        <v>0</v>
      </c>
      <c r="E86" s="302">
        <v>278.49954432059451</v>
      </c>
      <c r="F86" s="303">
        <v>17250</v>
      </c>
      <c r="G86" s="300">
        <f t="shared" si="7"/>
        <v>4804117.1395302555</v>
      </c>
      <c r="H86" s="316">
        <f t="shared" si="8"/>
        <v>4804117.1395302555</v>
      </c>
      <c r="L86" s="281" t="s">
        <v>22</v>
      </c>
      <c r="M86" s="278">
        <f>2292110+538776</f>
        <v>2830886</v>
      </c>
      <c r="N86" s="276">
        <f t="shared" si="4"/>
        <v>1698531.5999999999</v>
      </c>
      <c r="O86" s="276">
        <f t="shared" si="5"/>
        <v>566177.20000000007</v>
      </c>
      <c r="P86" s="277">
        <f t="shared" si="6"/>
        <v>566177.20000000007</v>
      </c>
    </row>
    <row r="87" spans="1:16" x14ac:dyDescent="0.2">
      <c r="A87" s="921"/>
      <c r="B87" s="264">
        <v>53201010100000</v>
      </c>
      <c r="C87" s="304" t="s">
        <v>176</v>
      </c>
      <c r="D87" s="301">
        <v>0</v>
      </c>
      <c r="E87" s="302">
        <v>0</v>
      </c>
      <c r="F87" s="303">
        <v>0</v>
      </c>
      <c r="G87" s="300">
        <f t="shared" si="7"/>
        <v>0</v>
      </c>
      <c r="H87" s="316">
        <f t="shared" si="8"/>
        <v>0</v>
      </c>
      <c r="L87" s="281" t="s">
        <v>180</v>
      </c>
      <c r="M87" s="278">
        <v>0</v>
      </c>
      <c r="N87" s="276">
        <f t="shared" si="4"/>
        <v>0</v>
      </c>
      <c r="O87" s="276">
        <f t="shared" si="5"/>
        <v>0</v>
      </c>
      <c r="P87" s="277">
        <f t="shared" si="6"/>
        <v>0</v>
      </c>
    </row>
    <row r="88" spans="1:16" x14ac:dyDescent="0.2">
      <c r="A88" s="921"/>
      <c r="B88" s="264">
        <v>53202010100000</v>
      </c>
      <c r="C88" s="281" t="s">
        <v>177</v>
      </c>
      <c r="D88" s="300">
        <f>+P82</f>
        <v>600000</v>
      </c>
      <c r="E88" s="300">
        <v>0</v>
      </c>
      <c r="F88" s="317">
        <v>0</v>
      </c>
      <c r="G88" s="300">
        <f t="shared" si="7"/>
        <v>0</v>
      </c>
      <c r="H88" s="316">
        <f t="shared" si="8"/>
        <v>600000</v>
      </c>
      <c r="L88" s="281" t="s">
        <v>24</v>
      </c>
      <c r="M88" s="278">
        <v>6522720.6000000015</v>
      </c>
      <c r="N88" s="276">
        <f t="shared" si="4"/>
        <v>3913632.3600000008</v>
      </c>
      <c r="O88" s="276">
        <f t="shared" si="5"/>
        <v>1304544.1200000003</v>
      </c>
      <c r="P88" s="277">
        <f t="shared" si="6"/>
        <v>1304544.1200000003</v>
      </c>
    </row>
    <row r="89" spans="1:16" x14ac:dyDescent="0.2">
      <c r="A89" s="921"/>
      <c r="B89" s="264">
        <v>53203010100000</v>
      </c>
      <c r="C89" s="281" t="s">
        <v>19</v>
      </c>
      <c r="D89" s="300">
        <f t="shared" ref="D89:D104" si="9">+P83</f>
        <v>278109.60204761906</v>
      </c>
      <c r="E89" s="300">
        <v>0</v>
      </c>
      <c r="F89" s="317">
        <v>0</v>
      </c>
      <c r="G89" s="300">
        <f t="shared" si="7"/>
        <v>0</v>
      </c>
      <c r="H89" s="316">
        <f t="shared" si="8"/>
        <v>278109.60204761906</v>
      </c>
      <c r="L89" s="281" t="s">
        <v>25</v>
      </c>
      <c r="M89" s="278">
        <v>924850.08</v>
      </c>
      <c r="N89" s="276">
        <f t="shared" si="4"/>
        <v>554910.04799999995</v>
      </c>
      <c r="O89" s="276">
        <f t="shared" si="5"/>
        <v>184970.016</v>
      </c>
      <c r="P89" s="277">
        <f t="shared" si="6"/>
        <v>184970.016</v>
      </c>
    </row>
    <row r="90" spans="1:16" x14ac:dyDescent="0.2">
      <c r="A90" s="921"/>
      <c r="B90" s="264">
        <v>53203030000000</v>
      </c>
      <c r="C90" s="281" t="s">
        <v>178</v>
      </c>
      <c r="D90" s="300">
        <f t="shared" si="9"/>
        <v>0</v>
      </c>
      <c r="E90" s="300">
        <v>0</v>
      </c>
      <c r="F90" s="317">
        <v>0</v>
      </c>
      <c r="G90" s="300">
        <f t="shared" si="7"/>
        <v>0</v>
      </c>
      <c r="H90" s="316">
        <f t="shared" si="8"/>
        <v>0</v>
      </c>
      <c r="L90" s="281" t="s">
        <v>26</v>
      </c>
      <c r="M90" s="278">
        <v>5856316.270833333</v>
      </c>
      <c r="N90" s="276">
        <f t="shared" si="4"/>
        <v>3513789.7624999997</v>
      </c>
      <c r="O90" s="276">
        <f t="shared" si="5"/>
        <v>1171263.2541666667</v>
      </c>
      <c r="P90" s="277">
        <f t="shared" si="6"/>
        <v>1171263.2541666667</v>
      </c>
    </row>
    <row r="91" spans="1:16" x14ac:dyDescent="0.2">
      <c r="A91" s="921"/>
      <c r="B91" s="264">
        <v>53204030000000</v>
      </c>
      <c r="C91" s="281" t="s">
        <v>220</v>
      </c>
      <c r="D91" s="300">
        <f t="shared" si="9"/>
        <v>100000</v>
      </c>
      <c r="E91" s="300">
        <v>0</v>
      </c>
      <c r="F91" s="317">
        <v>0</v>
      </c>
      <c r="G91" s="300">
        <f t="shared" si="7"/>
        <v>0</v>
      </c>
      <c r="H91" s="316">
        <f>D91+G91</f>
        <v>100000</v>
      </c>
      <c r="L91" s="281" t="s">
        <v>27</v>
      </c>
      <c r="M91" s="278">
        <v>0</v>
      </c>
      <c r="N91" s="276">
        <f t="shared" si="4"/>
        <v>0</v>
      </c>
      <c r="O91" s="276">
        <f t="shared" si="5"/>
        <v>0</v>
      </c>
      <c r="P91" s="277">
        <f t="shared" si="6"/>
        <v>0</v>
      </c>
    </row>
    <row r="92" spans="1:16" x14ac:dyDescent="0.2">
      <c r="A92" s="921"/>
      <c r="B92" s="264">
        <v>53204100100001</v>
      </c>
      <c r="C92" s="281" t="s">
        <v>22</v>
      </c>
      <c r="D92" s="300">
        <f t="shared" si="9"/>
        <v>566177.20000000007</v>
      </c>
      <c r="E92" s="300">
        <v>0</v>
      </c>
      <c r="F92" s="317">
        <v>0</v>
      </c>
      <c r="G92" s="300">
        <f t="shared" si="7"/>
        <v>0</v>
      </c>
      <c r="H92" s="316">
        <f t="shared" ref="H92:H104" si="10">D92+G92</f>
        <v>566177.20000000007</v>
      </c>
      <c r="L92" s="281" t="s">
        <v>29</v>
      </c>
      <c r="M92" s="278">
        <v>321659</v>
      </c>
      <c r="N92" s="276">
        <f t="shared" si="4"/>
        <v>192995.4</v>
      </c>
      <c r="O92" s="276">
        <f t="shared" si="5"/>
        <v>64331.8</v>
      </c>
      <c r="P92" s="277">
        <f t="shared" si="6"/>
        <v>64331.8</v>
      </c>
    </row>
    <row r="93" spans="1:16" x14ac:dyDescent="0.2">
      <c r="A93" s="921"/>
      <c r="B93" s="264">
        <v>53204130100000</v>
      </c>
      <c r="C93" s="281" t="s">
        <v>180</v>
      </c>
      <c r="D93" s="300">
        <f t="shared" si="9"/>
        <v>0</v>
      </c>
      <c r="E93" s="300">
        <v>0</v>
      </c>
      <c r="F93" s="317">
        <v>0</v>
      </c>
      <c r="G93" s="300">
        <f t="shared" si="7"/>
        <v>0</v>
      </c>
      <c r="H93" s="316">
        <f t="shared" si="10"/>
        <v>0</v>
      </c>
      <c r="L93" s="281" t="s">
        <v>30</v>
      </c>
      <c r="M93" s="278">
        <f>900312+360000</f>
        <v>1260312</v>
      </c>
      <c r="N93" s="276">
        <f t="shared" si="4"/>
        <v>756187.2</v>
      </c>
      <c r="O93" s="276">
        <f t="shared" si="5"/>
        <v>252062.40000000002</v>
      </c>
      <c r="P93" s="277">
        <f t="shared" si="6"/>
        <v>252062.40000000002</v>
      </c>
    </row>
    <row r="94" spans="1:16" x14ac:dyDescent="0.2">
      <c r="A94" s="921"/>
      <c r="B94" s="264">
        <v>53205010100000</v>
      </c>
      <c r="C94" s="281" t="s">
        <v>24</v>
      </c>
      <c r="D94" s="300">
        <f t="shared" si="9"/>
        <v>1304544.1200000003</v>
      </c>
      <c r="E94" s="300">
        <v>0</v>
      </c>
      <c r="F94" s="317">
        <v>0</v>
      </c>
      <c r="G94" s="300">
        <f t="shared" si="7"/>
        <v>0</v>
      </c>
      <c r="H94" s="316">
        <f t="shared" si="10"/>
        <v>1304544.1200000003</v>
      </c>
      <c r="L94" s="281" t="s">
        <v>31</v>
      </c>
      <c r="M94" s="275">
        <f>6152447+240000+250000</f>
        <v>6642447</v>
      </c>
      <c r="N94" s="276">
        <f t="shared" si="4"/>
        <v>3985468.1999999997</v>
      </c>
      <c r="O94" s="276">
        <f t="shared" si="5"/>
        <v>1328489.4000000001</v>
      </c>
      <c r="P94" s="277">
        <f t="shared" si="6"/>
        <v>1328489.4000000001</v>
      </c>
    </row>
    <row r="95" spans="1:16" x14ac:dyDescent="0.2">
      <c r="A95" s="921"/>
      <c r="B95" s="264">
        <v>53205020100000</v>
      </c>
      <c r="C95" s="281" t="s">
        <v>25</v>
      </c>
      <c r="D95" s="300">
        <f t="shared" si="9"/>
        <v>184970.016</v>
      </c>
      <c r="E95" s="300">
        <v>0</v>
      </c>
      <c r="F95" s="317">
        <v>0</v>
      </c>
      <c r="G95" s="300">
        <f t="shared" si="7"/>
        <v>0</v>
      </c>
      <c r="H95" s="316">
        <f t="shared" si="10"/>
        <v>184970.016</v>
      </c>
      <c r="L95" s="281" t="s">
        <v>181</v>
      </c>
      <c r="M95" s="278">
        <v>0</v>
      </c>
      <c r="N95" s="276">
        <f t="shared" si="4"/>
        <v>0</v>
      </c>
      <c r="O95" s="276">
        <f t="shared" si="5"/>
        <v>0</v>
      </c>
      <c r="P95" s="277">
        <f t="shared" si="6"/>
        <v>0</v>
      </c>
    </row>
    <row r="96" spans="1:16" x14ac:dyDescent="0.2">
      <c r="A96" s="921"/>
      <c r="B96" s="264">
        <v>53205030100000</v>
      </c>
      <c r="C96" s="281" t="s">
        <v>26</v>
      </c>
      <c r="D96" s="300">
        <f t="shared" si="9"/>
        <v>1171263.2541666667</v>
      </c>
      <c r="E96" s="300">
        <v>0</v>
      </c>
      <c r="F96" s="317">
        <v>0</v>
      </c>
      <c r="G96" s="300">
        <f t="shared" si="7"/>
        <v>0</v>
      </c>
      <c r="H96" s="316">
        <f t="shared" si="10"/>
        <v>1171263.2541666667</v>
      </c>
      <c r="L96" s="281" t="s">
        <v>32</v>
      </c>
      <c r="M96" s="278">
        <v>0</v>
      </c>
      <c r="N96" s="276">
        <f t="shared" si="4"/>
        <v>0</v>
      </c>
      <c r="O96" s="276">
        <f t="shared" si="5"/>
        <v>0</v>
      </c>
      <c r="P96" s="277">
        <f t="shared" si="6"/>
        <v>0</v>
      </c>
    </row>
    <row r="97" spans="1:16" x14ac:dyDescent="0.2">
      <c r="A97" s="921"/>
      <c r="B97" s="264">
        <v>53205050100000</v>
      </c>
      <c r="C97" s="281" t="s">
        <v>27</v>
      </c>
      <c r="D97" s="300">
        <f t="shared" si="9"/>
        <v>0</v>
      </c>
      <c r="E97" s="300">
        <v>0</v>
      </c>
      <c r="F97" s="317">
        <v>0</v>
      </c>
      <c r="G97" s="300">
        <f t="shared" si="7"/>
        <v>0</v>
      </c>
      <c r="H97" s="316">
        <f t="shared" si="10"/>
        <v>0</v>
      </c>
      <c r="L97" s="281" t="s">
        <v>182</v>
      </c>
      <c r="M97" s="278">
        <f>590688+39536</f>
        <v>630224</v>
      </c>
      <c r="N97" s="276">
        <f t="shared" si="4"/>
        <v>378134.39999999997</v>
      </c>
      <c r="O97" s="276">
        <f t="shared" si="5"/>
        <v>126044.8</v>
      </c>
      <c r="P97" s="277">
        <f t="shared" si="6"/>
        <v>126044.8</v>
      </c>
    </row>
    <row r="98" spans="1:16" x14ac:dyDescent="0.2">
      <c r="A98" s="921"/>
      <c r="B98" s="264">
        <v>53205070100000</v>
      </c>
      <c r="C98" s="281" t="s">
        <v>29</v>
      </c>
      <c r="D98" s="300">
        <f t="shared" si="9"/>
        <v>64331.8</v>
      </c>
      <c r="E98" s="300">
        <v>0</v>
      </c>
      <c r="F98" s="317">
        <v>0</v>
      </c>
      <c r="G98" s="300">
        <f t="shared" si="7"/>
        <v>0</v>
      </c>
      <c r="H98" s="316">
        <f t="shared" si="10"/>
        <v>64331.8</v>
      </c>
      <c r="L98" s="281" t="s">
        <v>183</v>
      </c>
      <c r="M98" s="275">
        <v>0</v>
      </c>
      <c r="N98" s="276">
        <f t="shared" si="4"/>
        <v>0</v>
      </c>
      <c r="O98" s="276">
        <f t="shared" si="5"/>
        <v>0</v>
      </c>
      <c r="P98" s="277">
        <f t="shared" si="6"/>
        <v>0</v>
      </c>
    </row>
    <row r="99" spans="1:16" x14ac:dyDescent="0.2">
      <c r="A99" s="921"/>
      <c r="B99" s="264">
        <v>53208010100000</v>
      </c>
      <c r="C99" s="281" t="s">
        <v>30</v>
      </c>
      <c r="D99" s="300">
        <f t="shared" si="9"/>
        <v>252062.40000000002</v>
      </c>
      <c r="E99" s="300">
        <v>0</v>
      </c>
      <c r="F99" s="317">
        <v>0</v>
      </c>
      <c r="G99" s="300">
        <f t="shared" si="7"/>
        <v>0</v>
      </c>
      <c r="H99" s="316">
        <f t="shared" si="10"/>
        <v>252062.40000000002</v>
      </c>
      <c r="L99" s="269" t="s">
        <v>34</v>
      </c>
      <c r="M99" s="923"/>
      <c r="N99" s="923"/>
      <c r="O99" s="923"/>
      <c r="P99" s="924"/>
    </row>
    <row r="100" spans="1:16" x14ac:dyDescent="0.2">
      <c r="A100" s="921"/>
      <c r="B100" s="264">
        <v>53208070100001</v>
      </c>
      <c r="C100" s="281" t="s">
        <v>31</v>
      </c>
      <c r="D100" s="300">
        <f t="shared" si="9"/>
        <v>1328489.4000000001</v>
      </c>
      <c r="E100" s="300">
        <v>0</v>
      </c>
      <c r="F100" s="317">
        <v>0</v>
      </c>
      <c r="G100" s="300">
        <f t="shared" si="7"/>
        <v>0</v>
      </c>
      <c r="H100" s="316">
        <f t="shared" si="10"/>
        <v>1328489.4000000001</v>
      </c>
      <c r="L100" s="279" t="s">
        <v>35</v>
      </c>
      <c r="M100" s="925"/>
      <c r="N100" s="926"/>
      <c r="O100" s="926"/>
      <c r="P100" s="927"/>
    </row>
    <row r="101" spans="1:16" x14ac:dyDescent="0.2">
      <c r="A101" s="921"/>
      <c r="B101" s="264">
        <v>53208100100001</v>
      </c>
      <c r="C101" s="281" t="s">
        <v>181</v>
      </c>
      <c r="D101" s="300">
        <f t="shared" si="9"/>
        <v>0</v>
      </c>
      <c r="E101" s="300">
        <v>0</v>
      </c>
      <c r="F101" s="317">
        <v>0</v>
      </c>
      <c r="G101" s="300">
        <f t="shared" si="7"/>
        <v>0</v>
      </c>
      <c r="H101" s="316">
        <f t="shared" si="10"/>
        <v>0</v>
      </c>
      <c r="L101" s="281" t="s">
        <v>41</v>
      </c>
      <c r="M101" s="278">
        <v>0</v>
      </c>
      <c r="N101" s="276">
        <f>+M101*0.6</f>
        <v>0</v>
      </c>
      <c r="O101" s="276">
        <f>+M101*0.2</f>
        <v>0</v>
      </c>
      <c r="P101" s="277">
        <f>+M101*0.2</f>
        <v>0</v>
      </c>
    </row>
    <row r="102" spans="1:16" x14ac:dyDescent="0.2">
      <c r="A102" s="921"/>
      <c r="B102" s="264">
        <v>53211030000000</v>
      </c>
      <c r="C102" s="281" t="s">
        <v>32</v>
      </c>
      <c r="D102" s="300">
        <f t="shared" si="9"/>
        <v>0</v>
      </c>
      <c r="E102" s="300">
        <v>0</v>
      </c>
      <c r="F102" s="317">
        <v>0</v>
      </c>
      <c r="G102" s="300">
        <f t="shared" si="7"/>
        <v>0</v>
      </c>
      <c r="H102" s="316">
        <f t="shared" si="10"/>
        <v>0</v>
      </c>
      <c r="L102" s="281" t="s">
        <v>186</v>
      </c>
      <c r="M102" s="278">
        <v>750000</v>
      </c>
      <c r="N102" s="276">
        <f>+M102*0.6</f>
        <v>450000</v>
      </c>
      <c r="O102" s="276">
        <f>+M102*0.2</f>
        <v>150000</v>
      </c>
      <c r="P102" s="277">
        <f>+M102*0.2</f>
        <v>150000</v>
      </c>
    </row>
    <row r="103" spans="1:16" x14ac:dyDescent="0.2">
      <c r="A103" s="921"/>
      <c r="B103" s="264">
        <v>53212020100000</v>
      </c>
      <c r="C103" s="281" t="s">
        <v>182</v>
      </c>
      <c r="D103" s="300">
        <f t="shared" si="9"/>
        <v>126044.8</v>
      </c>
      <c r="E103" s="300">
        <v>0</v>
      </c>
      <c r="F103" s="317">
        <v>0</v>
      </c>
      <c r="G103" s="300">
        <f t="shared" si="7"/>
        <v>0</v>
      </c>
      <c r="H103" s="316">
        <f t="shared" si="10"/>
        <v>126044.8</v>
      </c>
      <c r="L103" s="279" t="s">
        <v>42</v>
      </c>
      <c r="M103" s="925"/>
      <c r="N103" s="926"/>
      <c r="O103" s="926"/>
      <c r="P103" s="927"/>
    </row>
    <row r="104" spans="1:16" x14ac:dyDescent="0.2">
      <c r="A104" s="921"/>
      <c r="B104" s="264">
        <v>53214020000000</v>
      </c>
      <c r="C104" s="281" t="s">
        <v>183</v>
      </c>
      <c r="D104" s="300">
        <f t="shared" si="9"/>
        <v>0</v>
      </c>
      <c r="E104" s="300">
        <v>0</v>
      </c>
      <c r="F104" s="317">
        <v>0</v>
      </c>
      <c r="G104" s="300">
        <f t="shared" si="7"/>
        <v>0</v>
      </c>
      <c r="H104" s="316">
        <f t="shared" si="10"/>
        <v>0</v>
      </c>
      <c r="L104" s="281" t="s">
        <v>44</v>
      </c>
      <c r="M104" s="278">
        <v>0</v>
      </c>
      <c r="N104" s="276">
        <f>+M104*0.6</f>
        <v>0</v>
      </c>
      <c r="O104" s="276">
        <f>+M104*0.2</f>
        <v>0</v>
      </c>
      <c r="P104" s="277">
        <f>+M104*0.2</f>
        <v>0</v>
      </c>
    </row>
    <row r="105" spans="1:16" x14ac:dyDescent="0.2">
      <c r="A105" s="921"/>
      <c r="B105" s="293"/>
      <c r="C105" s="294" t="s">
        <v>34</v>
      </c>
      <c r="D105" s="295">
        <f>SUM(D106,D111,D113,D122,D131,D139)</f>
        <v>6236258.8000000007</v>
      </c>
      <c r="E105" s="318"/>
      <c r="F105" s="318"/>
      <c r="G105" s="295">
        <f>SUM(G106,G111,G113,G122,G131,G139)</f>
        <v>442500</v>
      </c>
      <c r="H105" s="319">
        <f>SUM(H106,H111,H113,H122,H131,H139)</f>
        <v>6678758.8000000007</v>
      </c>
      <c r="L105" s="279" t="s">
        <v>45</v>
      </c>
      <c r="M105" s="925" t="s">
        <v>224</v>
      </c>
      <c r="N105" s="926"/>
      <c r="O105" s="926"/>
      <c r="P105" s="927"/>
    </row>
    <row r="106" spans="1:16" x14ac:dyDescent="0.2">
      <c r="A106" s="921"/>
      <c r="B106" s="263"/>
      <c r="C106" s="296" t="s">
        <v>35</v>
      </c>
      <c r="D106" s="297">
        <f>SUM(D107:D110)</f>
        <v>150000</v>
      </c>
      <c r="E106" s="313"/>
      <c r="F106" s="313"/>
      <c r="G106" s="297">
        <f>SUM(G107:G110)</f>
        <v>235000</v>
      </c>
      <c r="H106" s="320">
        <f>SUM(H107:H110)</f>
        <v>385000</v>
      </c>
      <c r="L106" s="281" t="s">
        <v>47</v>
      </c>
      <c r="M106" s="278">
        <f>565195+194504</f>
        <v>759699</v>
      </c>
      <c r="N106" s="276">
        <f>+M106*0.6</f>
        <v>455819.39999999997</v>
      </c>
      <c r="O106" s="276">
        <f>+M106*0.2</f>
        <v>151939.80000000002</v>
      </c>
      <c r="P106" s="277">
        <f>+M106*0.2</f>
        <v>151939.80000000002</v>
      </c>
    </row>
    <row r="107" spans="1:16" x14ac:dyDescent="0.2">
      <c r="A107" s="921"/>
      <c r="B107" s="264">
        <v>53202020100000</v>
      </c>
      <c r="C107" s="281" t="s">
        <v>184</v>
      </c>
      <c r="D107" s="301">
        <v>0</v>
      </c>
      <c r="E107" s="381">
        <v>50000</v>
      </c>
      <c r="F107" s="350">
        <v>4</v>
      </c>
      <c r="G107" s="300">
        <f>E107*F107</f>
        <v>200000</v>
      </c>
      <c r="H107" s="316">
        <f>D107+G107</f>
        <v>200000</v>
      </c>
      <c r="L107" s="281" t="s">
        <v>221</v>
      </c>
      <c r="M107" s="278">
        <v>1000000</v>
      </c>
      <c r="N107" s="276">
        <f t="shared" ref="N107:N113" si="11">+M107*0.6</f>
        <v>600000</v>
      </c>
      <c r="O107" s="276">
        <f t="shared" ref="O107:O113" si="12">+M107*0.2</f>
        <v>200000</v>
      </c>
      <c r="P107" s="277">
        <f t="shared" ref="P107:P113" si="13">+M107*0.2</f>
        <v>200000</v>
      </c>
    </row>
    <row r="108" spans="1:16" x14ac:dyDescent="0.2">
      <c r="A108" s="921"/>
      <c r="B108" s="264">
        <v>53202030000000</v>
      </c>
      <c r="C108" s="281" t="s">
        <v>185</v>
      </c>
      <c r="D108" s="301">
        <v>0</v>
      </c>
      <c r="E108" s="381">
        <v>35000</v>
      </c>
      <c r="F108" s="350">
        <v>1</v>
      </c>
      <c r="G108" s="300">
        <f>E108*F108</f>
        <v>35000</v>
      </c>
      <c r="H108" s="316">
        <f>D108+G108</f>
        <v>35000</v>
      </c>
      <c r="L108" s="281" t="s">
        <v>49</v>
      </c>
      <c r="M108" s="278">
        <v>0</v>
      </c>
      <c r="N108" s="276">
        <f t="shared" si="11"/>
        <v>0</v>
      </c>
      <c r="O108" s="276">
        <f t="shared" si="12"/>
        <v>0</v>
      </c>
      <c r="P108" s="277">
        <f t="shared" si="13"/>
        <v>0</v>
      </c>
    </row>
    <row r="109" spans="1:16" x14ac:dyDescent="0.2">
      <c r="A109" s="921"/>
      <c r="B109" s="264">
        <v>53211020000000</v>
      </c>
      <c r="C109" s="281" t="s">
        <v>41</v>
      </c>
      <c r="D109" s="322">
        <f>+P101</f>
        <v>0</v>
      </c>
      <c r="E109" s="322">
        <v>0</v>
      </c>
      <c r="F109" s="323">
        <v>0</v>
      </c>
      <c r="G109" s="300">
        <f>E109*F109</f>
        <v>0</v>
      </c>
      <c r="H109" s="316">
        <f>D109+G109</f>
        <v>0</v>
      </c>
      <c r="L109" s="281" t="s">
        <v>50</v>
      </c>
      <c r="M109" s="278">
        <f>2695335+139284</f>
        <v>2834619</v>
      </c>
      <c r="N109" s="276">
        <f t="shared" si="11"/>
        <v>1700771.4</v>
      </c>
      <c r="O109" s="276">
        <f t="shared" si="12"/>
        <v>566923.80000000005</v>
      </c>
      <c r="P109" s="277">
        <f t="shared" si="13"/>
        <v>566923.80000000005</v>
      </c>
    </row>
    <row r="110" spans="1:16" x14ac:dyDescent="0.2">
      <c r="A110" s="921"/>
      <c r="B110" s="264">
        <v>53101040600000</v>
      </c>
      <c r="C110" s="281" t="s">
        <v>186</v>
      </c>
      <c r="D110" s="322">
        <f>+P102</f>
        <v>150000</v>
      </c>
      <c r="E110" s="322">
        <v>0</v>
      </c>
      <c r="F110" s="323">
        <v>0</v>
      </c>
      <c r="G110" s="300">
        <f>E110*F110</f>
        <v>0</v>
      </c>
      <c r="H110" s="316">
        <f>D110+G110</f>
        <v>150000</v>
      </c>
      <c r="L110" s="281" t="s">
        <v>51</v>
      </c>
      <c r="M110" s="278">
        <v>2000000</v>
      </c>
      <c r="N110" s="276">
        <f t="shared" si="11"/>
        <v>1200000</v>
      </c>
      <c r="O110" s="276">
        <f t="shared" si="12"/>
        <v>400000</v>
      </c>
      <c r="P110" s="277">
        <f t="shared" si="13"/>
        <v>400000</v>
      </c>
    </row>
    <row r="111" spans="1:16" x14ac:dyDescent="0.2">
      <c r="A111" s="921"/>
      <c r="B111" s="263"/>
      <c r="C111" s="296" t="s">
        <v>42</v>
      </c>
      <c r="D111" s="297">
        <f>SUM(D112)</f>
        <v>0</v>
      </c>
      <c r="E111" s="313"/>
      <c r="F111" s="313"/>
      <c r="G111" s="305">
        <f>SUM(G112:G112)</f>
        <v>0</v>
      </c>
      <c r="H111" s="320">
        <f>SUM(H112:H112)</f>
        <v>0</v>
      </c>
      <c r="L111" s="281" t="s">
        <v>52</v>
      </c>
      <c r="M111" s="275">
        <v>3000000</v>
      </c>
      <c r="N111" s="276">
        <f t="shared" si="11"/>
        <v>1800000</v>
      </c>
      <c r="O111" s="276">
        <f t="shared" si="12"/>
        <v>600000</v>
      </c>
      <c r="P111" s="277">
        <f t="shared" si="13"/>
        <v>600000</v>
      </c>
    </row>
    <row r="112" spans="1:16" ht="25.5" x14ac:dyDescent="0.2">
      <c r="A112" s="921"/>
      <c r="B112" s="267">
        <v>53205990000000</v>
      </c>
      <c r="C112" s="529" t="s">
        <v>44</v>
      </c>
      <c r="D112" s="322">
        <f>+P104</f>
        <v>0</v>
      </c>
      <c r="E112" s="322">
        <v>0</v>
      </c>
      <c r="F112" s="530">
        <v>0</v>
      </c>
      <c r="G112" s="300">
        <f>E112*F112</f>
        <v>0</v>
      </c>
      <c r="H112" s="316">
        <f>D112+G112</f>
        <v>0</v>
      </c>
      <c r="L112" s="280" t="s">
        <v>187</v>
      </c>
      <c r="M112" s="275">
        <v>1500000</v>
      </c>
      <c r="N112" s="276">
        <f t="shared" si="11"/>
        <v>900000</v>
      </c>
      <c r="O112" s="276">
        <f t="shared" si="12"/>
        <v>300000</v>
      </c>
      <c r="P112" s="277">
        <f t="shared" si="13"/>
        <v>300000</v>
      </c>
    </row>
    <row r="113" spans="1:16" x14ac:dyDescent="0.2">
      <c r="A113" s="921"/>
      <c r="B113" s="263"/>
      <c r="C113" s="296" t="s">
        <v>45</v>
      </c>
      <c r="D113" s="297">
        <f>SUM(D114:D121)</f>
        <v>2818863.6</v>
      </c>
      <c r="E113" s="313"/>
      <c r="F113" s="313"/>
      <c r="G113" s="297">
        <f>SUM(G114:G121)</f>
        <v>0</v>
      </c>
      <c r="H113" s="320">
        <f>SUM(H114:H121)</f>
        <v>2818863.6</v>
      </c>
      <c r="L113" s="281" t="s">
        <v>179</v>
      </c>
      <c r="M113" s="278">
        <v>3000000</v>
      </c>
      <c r="N113" s="276">
        <f t="shared" si="11"/>
        <v>1800000</v>
      </c>
      <c r="O113" s="276">
        <f t="shared" si="12"/>
        <v>600000</v>
      </c>
      <c r="P113" s="277">
        <f t="shared" si="13"/>
        <v>600000</v>
      </c>
    </row>
    <row r="114" spans="1:16" x14ac:dyDescent="0.2">
      <c r="A114" s="921"/>
      <c r="B114" s="264">
        <v>53204010000000</v>
      </c>
      <c r="C114" s="281" t="s">
        <v>47</v>
      </c>
      <c r="D114" s="322">
        <f>+P106</f>
        <v>151939.80000000002</v>
      </c>
      <c r="E114" s="322">
        <v>0</v>
      </c>
      <c r="F114" s="323">
        <v>0</v>
      </c>
      <c r="G114" s="322">
        <f t="shared" ref="G114:G121" si="14">E114*F114</f>
        <v>0</v>
      </c>
      <c r="H114" s="316">
        <f t="shared" ref="H114:H121" si="15">D114+G114</f>
        <v>151939.80000000002</v>
      </c>
      <c r="L114" s="279" t="s">
        <v>55</v>
      </c>
      <c r="M114" s="925"/>
      <c r="N114" s="926"/>
      <c r="O114" s="926"/>
      <c r="P114" s="927"/>
    </row>
    <row r="115" spans="1:16" x14ac:dyDescent="0.2">
      <c r="A115" s="921"/>
      <c r="B115" s="267">
        <v>53204040200000</v>
      </c>
      <c r="C115" s="281" t="s">
        <v>221</v>
      </c>
      <c r="D115" s="322">
        <f t="shared" ref="D115:D121" si="16">+P107</f>
        <v>200000</v>
      </c>
      <c r="E115" s="322">
        <v>0</v>
      </c>
      <c r="F115" s="323">
        <v>0</v>
      </c>
      <c r="G115" s="322">
        <f t="shared" si="14"/>
        <v>0</v>
      </c>
      <c r="H115" s="316">
        <f t="shared" si="15"/>
        <v>200000</v>
      </c>
      <c r="L115" s="281" t="s">
        <v>56</v>
      </c>
      <c r="M115" s="278">
        <v>0</v>
      </c>
      <c r="N115" s="276">
        <f>+M115*0.6</f>
        <v>0</v>
      </c>
      <c r="O115" s="276">
        <f>+M115*0.2</f>
        <v>0</v>
      </c>
      <c r="P115" s="277">
        <f>+M115*0.2</f>
        <v>0</v>
      </c>
    </row>
    <row r="116" spans="1:16" x14ac:dyDescent="0.2">
      <c r="A116" s="921"/>
      <c r="B116" s="264">
        <v>53204060000000</v>
      </c>
      <c r="C116" s="281" t="s">
        <v>49</v>
      </c>
      <c r="D116" s="322">
        <f t="shared" si="16"/>
        <v>0</v>
      </c>
      <c r="E116" s="322">
        <v>0</v>
      </c>
      <c r="F116" s="323">
        <v>0</v>
      </c>
      <c r="G116" s="322">
        <f t="shared" si="14"/>
        <v>0</v>
      </c>
      <c r="H116" s="316">
        <f t="shared" si="15"/>
        <v>0</v>
      </c>
      <c r="L116" s="281" t="s">
        <v>57</v>
      </c>
      <c r="M116" s="278">
        <v>0</v>
      </c>
      <c r="N116" s="276">
        <f t="shared" ref="N116:N121" si="17">+M116*0.6</f>
        <v>0</v>
      </c>
      <c r="O116" s="276">
        <f t="shared" ref="O116:O121" si="18">+M116*0.2</f>
        <v>0</v>
      </c>
      <c r="P116" s="277">
        <f t="shared" ref="P116:P121" si="19">+M116*0.2</f>
        <v>0</v>
      </c>
    </row>
    <row r="117" spans="1:16" ht="12.75" customHeight="1" x14ac:dyDescent="0.2">
      <c r="A117" s="921"/>
      <c r="B117" s="264">
        <v>53204070000000</v>
      </c>
      <c r="C117" s="281" t="s">
        <v>50</v>
      </c>
      <c r="D117" s="322">
        <f t="shared" si="16"/>
        <v>566923.80000000005</v>
      </c>
      <c r="E117" s="322">
        <v>0</v>
      </c>
      <c r="F117" s="323">
        <v>0</v>
      </c>
      <c r="G117" s="322">
        <f t="shared" si="14"/>
        <v>0</v>
      </c>
      <c r="H117" s="316">
        <f t="shared" si="15"/>
        <v>566923.80000000005</v>
      </c>
      <c r="L117" s="281" t="s">
        <v>170</v>
      </c>
      <c r="M117" s="278">
        <v>0</v>
      </c>
      <c r="N117" s="276">
        <f t="shared" si="17"/>
        <v>0</v>
      </c>
      <c r="O117" s="276">
        <f t="shared" si="18"/>
        <v>0</v>
      </c>
      <c r="P117" s="277">
        <f t="shared" si="19"/>
        <v>0</v>
      </c>
    </row>
    <row r="118" spans="1:16" x14ac:dyDescent="0.2">
      <c r="A118" s="921"/>
      <c r="B118" s="264">
        <v>53204080000000</v>
      </c>
      <c r="C118" s="281" t="s">
        <v>51</v>
      </c>
      <c r="D118" s="322">
        <f t="shared" si="16"/>
        <v>400000</v>
      </c>
      <c r="E118" s="322">
        <v>0</v>
      </c>
      <c r="F118" s="323">
        <v>0</v>
      </c>
      <c r="G118" s="322">
        <f t="shared" si="14"/>
        <v>0</v>
      </c>
      <c r="H118" s="316">
        <f t="shared" si="15"/>
        <v>400000</v>
      </c>
      <c r="L118" s="281" t="s">
        <v>188</v>
      </c>
      <c r="M118" s="278">
        <v>1211339</v>
      </c>
      <c r="N118" s="276">
        <f t="shared" si="17"/>
        <v>726803.4</v>
      </c>
      <c r="O118" s="276">
        <f t="shared" si="18"/>
        <v>242267.80000000002</v>
      </c>
      <c r="P118" s="277">
        <f t="shared" si="19"/>
        <v>242267.80000000002</v>
      </c>
    </row>
    <row r="119" spans="1:16" x14ac:dyDescent="0.2">
      <c r="A119" s="921"/>
      <c r="B119" s="264">
        <v>53214010000000</v>
      </c>
      <c r="C119" s="281" t="s">
        <v>52</v>
      </c>
      <c r="D119" s="322">
        <f t="shared" si="16"/>
        <v>600000</v>
      </c>
      <c r="E119" s="324">
        <v>0</v>
      </c>
      <c r="F119" s="323">
        <v>0</v>
      </c>
      <c r="G119" s="322">
        <f t="shared" si="14"/>
        <v>0</v>
      </c>
      <c r="H119" s="316">
        <f t="shared" si="15"/>
        <v>600000</v>
      </c>
      <c r="L119" s="281" t="s">
        <v>191</v>
      </c>
      <c r="M119" s="278">
        <v>0</v>
      </c>
      <c r="N119" s="276">
        <f t="shared" si="17"/>
        <v>0</v>
      </c>
      <c r="O119" s="276">
        <f t="shared" si="18"/>
        <v>0</v>
      </c>
      <c r="P119" s="277">
        <f t="shared" si="19"/>
        <v>0</v>
      </c>
    </row>
    <row r="120" spans="1:16" x14ac:dyDescent="0.2">
      <c r="A120" s="921"/>
      <c r="B120" s="264">
        <v>53214040000000</v>
      </c>
      <c r="C120" s="281" t="s">
        <v>187</v>
      </c>
      <c r="D120" s="322">
        <f t="shared" si="16"/>
        <v>300000</v>
      </c>
      <c r="E120" s="324">
        <v>0</v>
      </c>
      <c r="F120" s="323">
        <v>0</v>
      </c>
      <c r="G120" s="322">
        <f t="shared" si="14"/>
        <v>0</v>
      </c>
      <c r="H120" s="316">
        <f t="shared" si="15"/>
        <v>300000</v>
      </c>
      <c r="L120" s="281" t="s">
        <v>189</v>
      </c>
      <c r="M120" s="278">
        <v>5800000</v>
      </c>
      <c r="N120" s="276">
        <f t="shared" si="17"/>
        <v>3480000</v>
      </c>
      <c r="O120" s="276">
        <f t="shared" si="18"/>
        <v>1160000</v>
      </c>
      <c r="P120" s="277">
        <f t="shared" si="19"/>
        <v>1160000</v>
      </c>
    </row>
    <row r="121" spans="1:16" ht="14.25" customHeight="1" x14ac:dyDescent="0.2">
      <c r="A121" s="921"/>
      <c r="B121" s="265">
        <v>53204020100000</v>
      </c>
      <c r="C121" s="281" t="s">
        <v>179</v>
      </c>
      <c r="D121" s="322">
        <f t="shared" si="16"/>
        <v>600000</v>
      </c>
      <c r="E121" s="322">
        <v>0</v>
      </c>
      <c r="F121" s="323">
        <v>0</v>
      </c>
      <c r="G121" s="322">
        <f t="shared" si="14"/>
        <v>0</v>
      </c>
      <c r="H121" s="316">
        <f t="shared" si="15"/>
        <v>600000</v>
      </c>
      <c r="L121" s="281" t="s">
        <v>64</v>
      </c>
      <c r="M121" s="278">
        <v>0</v>
      </c>
      <c r="N121" s="276">
        <f t="shared" si="17"/>
        <v>0</v>
      </c>
      <c r="O121" s="276">
        <f t="shared" si="18"/>
        <v>0</v>
      </c>
      <c r="P121" s="277">
        <f t="shared" si="19"/>
        <v>0</v>
      </c>
    </row>
    <row r="122" spans="1:16" x14ac:dyDescent="0.2">
      <c r="A122" s="921"/>
      <c r="B122" s="263"/>
      <c r="C122" s="296" t="s">
        <v>55</v>
      </c>
      <c r="D122" s="297">
        <f>SUM(D123:D130)</f>
        <v>1402267.8</v>
      </c>
      <c r="E122" s="313"/>
      <c r="F122" s="313"/>
      <c r="G122" s="297">
        <f>SUM(G123:G130)</f>
        <v>207500</v>
      </c>
      <c r="H122" s="314">
        <f>SUM(H123:H130)</f>
        <v>1609767.8</v>
      </c>
      <c r="L122" s="279" t="s">
        <v>65</v>
      </c>
      <c r="M122" s="925">
        <v>0</v>
      </c>
      <c r="N122" s="926"/>
      <c r="O122" s="926"/>
      <c r="P122" s="927"/>
    </row>
    <row r="123" spans="1:16" x14ac:dyDescent="0.2">
      <c r="A123" s="921"/>
      <c r="B123" s="264">
        <v>53207010000000</v>
      </c>
      <c r="C123" s="281" t="s">
        <v>56</v>
      </c>
      <c r="D123" s="322">
        <f>P115</f>
        <v>0</v>
      </c>
      <c r="E123" s="322">
        <v>0</v>
      </c>
      <c r="F123" s="323">
        <v>0</v>
      </c>
      <c r="G123" s="322">
        <f t="shared" ref="G123:G130" si="20">E123*F123</f>
        <v>0</v>
      </c>
      <c r="H123" s="316">
        <f t="shared" ref="H123:H130" si="21">D123+G123</f>
        <v>0</v>
      </c>
      <c r="L123" s="281" t="s">
        <v>99</v>
      </c>
      <c r="M123" s="278">
        <v>0</v>
      </c>
      <c r="N123" s="276">
        <f>+M123*0.6</f>
        <v>0</v>
      </c>
      <c r="O123" s="276">
        <f>+M123*0.2</f>
        <v>0</v>
      </c>
      <c r="P123" s="277">
        <f>+M123*0.2</f>
        <v>0</v>
      </c>
    </row>
    <row r="124" spans="1:16" x14ac:dyDescent="0.2">
      <c r="A124" s="921"/>
      <c r="B124" s="264">
        <v>53207020000000</v>
      </c>
      <c r="C124" s="281" t="s">
        <v>57</v>
      </c>
      <c r="D124" s="322">
        <f>P116</f>
        <v>0</v>
      </c>
      <c r="E124" s="322">
        <v>0</v>
      </c>
      <c r="F124" s="323">
        <v>0</v>
      </c>
      <c r="G124" s="322">
        <f t="shared" si="20"/>
        <v>0</v>
      </c>
      <c r="H124" s="316">
        <f t="shared" si="21"/>
        <v>0</v>
      </c>
      <c r="L124" s="281" t="s">
        <v>100</v>
      </c>
      <c r="M124" s="278">
        <v>0</v>
      </c>
      <c r="N124" s="276">
        <f t="shared" ref="N124:N129" si="22">+M124*0.6</f>
        <v>0</v>
      </c>
      <c r="O124" s="276">
        <f t="shared" ref="O124:O129" si="23">+M124*0.2</f>
        <v>0</v>
      </c>
      <c r="P124" s="277">
        <f t="shared" ref="P124:P129" si="24">+M124*0.2</f>
        <v>0</v>
      </c>
    </row>
    <row r="125" spans="1:16" x14ac:dyDescent="0.2">
      <c r="A125" s="921"/>
      <c r="B125" s="264">
        <v>53208020000000</v>
      </c>
      <c r="C125" s="281" t="s">
        <v>170</v>
      </c>
      <c r="D125" s="322">
        <f>P117</f>
        <v>0</v>
      </c>
      <c r="E125" s="322">
        <v>0</v>
      </c>
      <c r="F125" s="323">
        <v>0</v>
      </c>
      <c r="G125" s="322">
        <f t="shared" si="20"/>
        <v>0</v>
      </c>
      <c r="H125" s="316">
        <f t="shared" si="21"/>
        <v>0</v>
      </c>
      <c r="L125" s="281" t="s">
        <v>192</v>
      </c>
      <c r="M125" s="278">
        <v>2500000</v>
      </c>
      <c r="N125" s="276">
        <f t="shared" si="22"/>
        <v>1500000</v>
      </c>
      <c r="O125" s="276">
        <f t="shared" si="23"/>
        <v>500000</v>
      </c>
      <c r="P125" s="277">
        <f t="shared" si="24"/>
        <v>500000</v>
      </c>
    </row>
    <row r="126" spans="1:16" x14ac:dyDescent="0.2">
      <c r="A126" s="921"/>
      <c r="B126" s="264">
        <v>53208990000000</v>
      </c>
      <c r="C126" s="281" t="s">
        <v>188</v>
      </c>
      <c r="D126" s="322">
        <f>P118</f>
        <v>242267.80000000002</v>
      </c>
      <c r="E126" s="322">
        <v>0</v>
      </c>
      <c r="F126" s="323">
        <v>0</v>
      </c>
      <c r="G126" s="322">
        <f t="shared" si="20"/>
        <v>0</v>
      </c>
      <c r="H126" s="316">
        <f t="shared" si="21"/>
        <v>242267.80000000002</v>
      </c>
      <c r="L126" s="281" t="s">
        <v>102</v>
      </c>
      <c r="M126" s="278">
        <v>0</v>
      </c>
      <c r="N126" s="276">
        <f t="shared" si="22"/>
        <v>0</v>
      </c>
      <c r="O126" s="276">
        <f t="shared" si="23"/>
        <v>0</v>
      </c>
      <c r="P126" s="277">
        <f t="shared" si="24"/>
        <v>0</v>
      </c>
    </row>
    <row r="127" spans="1:16" x14ac:dyDescent="0.2">
      <c r="A127" s="921"/>
      <c r="B127" s="265">
        <v>53210020300000</v>
      </c>
      <c r="C127" s="281" t="s">
        <v>190</v>
      </c>
      <c r="D127" s="531">
        <v>0</v>
      </c>
      <c r="E127" s="646">
        <v>8300</v>
      </c>
      <c r="F127" s="317">
        <f>+'B) Reajuste Tarifas y Ocupación'!I30</f>
        <v>25</v>
      </c>
      <c r="G127" s="300">
        <f t="shared" si="20"/>
        <v>207500</v>
      </c>
      <c r="H127" s="316">
        <f t="shared" si="21"/>
        <v>207500</v>
      </c>
      <c r="L127" s="281" t="s">
        <v>193</v>
      </c>
      <c r="M127" s="278">
        <v>0</v>
      </c>
      <c r="N127" s="276">
        <f t="shared" si="22"/>
        <v>0</v>
      </c>
      <c r="O127" s="276">
        <f t="shared" si="23"/>
        <v>0</v>
      </c>
      <c r="P127" s="277">
        <f t="shared" si="24"/>
        <v>0</v>
      </c>
    </row>
    <row r="128" spans="1:16" x14ac:dyDescent="0.2">
      <c r="A128" s="921"/>
      <c r="B128" s="264">
        <v>53208990000000</v>
      </c>
      <c r="C128" s="281" t="s">
        <v>191</v>
      </c>
      <c r="D128" s="300">
        <f>P119</f>
        <v>0</v>
      </c>
      <c r="E128" s="300">
        <v>0</v>
      </c>
      <c r="F128" s="317">
        <v>0</v>
      </c>
      <c r="G128" s="300">
        <f t="shared" si="20"/>
        <v>0</v>
      </c>
      <c r="H128" s="316">
        <f t="shared" si="21"/>
        <v>0</v>
      </c>
      <c r="L128" s="281" t="s">
        <v>104</v>
      </c>
      <c r="M128" s="278">
        <f>600000*1.045</f>
        <v>627000</v>
      </c>
      <c r="N128" s="276">
        <f t="shared" si="22"/>
        <v>376200</v>
      </c>
      <c r="O128" s="276">
        <f t="shared" si="23"/>
        <v>125400</v>
      </c>
      <c r="P128" s="277">
        <f t="shared" si="24"/>
        <v>125400</v>
      </c>
    </row>
    <row r="129" spans="1:16" x14ac:dyDescent="0.2">
      <c r="A129" s="921"/>
      <c r="B129" s="264">
        <v>53209990000000</v>
      </c>
      <c r="C129" s="281" t="s">
        <v>189</v>
      </c>
      <c r="D129" s="300">
        <f>P120</f>
        <v>1160000</v>
      </c>
      <c r="E129" s="300">
        <v>0</v>
      </c>
      <c r="F129" s="317">
        <v>0</v>
      </c>
      <c r="G129" s="300">
        <f t="shared" si="20"/>
        <v>0</v>
      </c>
      <c r="H129" s="316">
        <f t="shared" si="21"/>
        <v>1160000</v>
      </c>
      <c r="L129" s="281" t="s">
        <v>222</v>
      </c>
      <c r="M129" s="278">
        <v>6198637</v>
      </c>
      <c r="N129" s="276">
        <f t="shared" si="22"/>
        <v>3719182.1999999997</v>
      </c>
      <c r="O129" s="276">
        <f t="shared" si="23"/>
        <v>1239727.4000000001</v>
      </c>
      <c r="P129" s="277">
        <f t="shared" si="24"/>
        <v>1239727.4000000001</v>
      </c>
    </row>
    <row r="130" spans="1:16" x14ac:dyDescent="0.2">
      <c r="A130" s="921"/>
      <c r="B130" s="264">
        <v>53210020100000</v>
      </c>
      <c r="C130" s="281" t="s">
        <v>64</v>
      </c>
      <c r="D130" s="300">
        <f>P121</f>
        <v>0</v>
      </c>
      <c r="E130" s="300">
        <v>0</v>
      </c>
      <c r="F130" s="317">
        <v>0</v>
      </c>
      <c r="G130" s="300">
        <f t="shared" si="20"/>
        <v>0</v>
      </c>
      <c r="H130" s="316">
        <f t="shared" si="21"/>
        <v>0</v>
      </c>
    </row>
    <row r="131" spans="1:16" x14ac:dyDescent="0.2">
      <c r="A131" s="921"/>
      <c r="B131" s="263"/>
      <c r="C131" s="296" t="s">
        <v>65</v>
      </c>
      <c r="D131" s="297">
        <f>SUM(D132:D138)</f>
        <v>1865127.4000000001</v>
      </c>
      <c r="E131" s="313"/>
      <c r="F131" s="313"/>
      <c r="G131" s="297">
        <f>SUM(G132:G138)</f>
        <v>0</v>
      </c>
      <c r="H131" s="314">
        <f>SUM(H132:H138)</f>
        <v>1865127.4000000001</v>
      </c>
    </row>
    <row r="132" spans="1:16" x14ac:dyDescent="0.2">
      <c r="A132" s="921"/>
      <c r="B132" s="264">
        <v>53206030000000</v>
      </c>
      <c r="C132" s="281" t="s">
        <v>99</v>
      </c>
      <c r="D132" s="322">
        <f>P123</f>
        <v>0</v>
      </c>
      <c r="E132" s="322">
        <v>0</v>
      </c>
      <c r="F132" s="323">
        <v>0</v>
      </c>
      <c r="G132" s="300">
        <f t="shared" ref="G132:G138" si="25">E132*F132</f>
        <v>0</v>
      </c>
      <c r="H132" s="316">
        <f t="shared" ref="H132:H138" si="26">D132+G132</f>
        <v>0</v>
      </c>
    </row>
    <row r="133" spans="1:16" x14ac:dyDescent="0.2">
      <c r="A133" s="921"/>
      <c r="B133" s="264">
        <v>53206040000000</v>
      </c>
      <c r="C133" s="281" t="s">
        <v>100</v>
      </c>
      <c r="D133" s="322">
        <f t="shared" ref="D133:D138" si="27">P124</f>
        <v>0</v>
      </c>
      <c r="E133" s="322">
        <v>0</v>
      </c>
      <c r="F133" s="323">
        <v>0</v>
      </c>
      <c r="G133" s="300">
        <f t="shared" si="25"/>
        <v>0</v>
      </c>
      <c r="H133" s="316">
        <f t="shared" si="26"/>
        <v>0</v>
      </c>
    </row>
    <row r="134" spans="1:16" x14ac:dyDescent="0.2">
      <c r="A134" s="921"/>
      <c r="B134" s="264">
        <v>53206060000000</v>
      </c>
      <c r="C134" s="281" t="s">
        <v>192</v>
      </c>
      <c r="D134" s="322">
        <f t="shared" si="27"/>
        <v>500000</v>
      </c>
      <c r="E134" s="322">
        <v>0</v>
      </c>
      <c r="F134" s="323">
        <v>0</v>
      </c>
      <c r="G134" s="300">
        <f t="shared" si="25"/>
        <v>0</v>
      </c>
      <c r="H134" s="316">
        <f t="shared" si="26"/>
        <v>500000</v>
      </c>
    </row>
    <row r="135" spans="1:16" x14ac:dyDescent="0.2">
      <c r="A135" s="921"/>
      <c r="B135" s="264">
        <v>53206070000000</v>
      </c>
      <c r="C135" s="281" t="s">
        <v>102</v>
      </c>
      <c r="D135" s="322">
        <f t="shared" si="27"/>
        <v>0</v>
      </c>
      <c r="E135" s="322">
        <v>0</v>
      </c>
      <c r="F135" s="323">
        <v>0</v>
      </c>
      <c r="G135" s="300">
        <f t="shared" si="25"/>
        <v>0</v>
      </c>
      <c r="H135" s="316">
        <f t="shared" si="26"/>
        <v>0</v>
      </c>
    </row>
    <row r="136" spans="1:16" ht="15.75" customHeight="1" x14ac:dyDescent="0.2">
      <c r="A136" s="921"/>
      <c r="B136" s="264">
        <v>53206990000000</v>
      </c>
      <c r="C136" s="281" t="s">
        <v>193</v>
      </c>
      <c r="D136" s="322">
        <f t="shared" si="27"/>
        <v>0</v>
      </c>
      <c r="E136" s="322">
        <v>0</v>
      </c>
      <c r="F136" s="323">
        <v>0</v>
      </c>
      <c r="G136" s="300">
        <f t="shared" si="25"/>
        <v>0</v>
      </c>
      <c r="H136" s="316">
        <f t="shared" si="26"/>
        <v>0</v>
      </c>
    </row>
    <row r="137" spans="1:16" x14ac:dyDescent="0.2">
      <c r="A137" s="921"/>
      <c r="B137" s="264">
        <v>53208030000000</v>
      </c>
      <c r="C137" s="281" t="s">
        <v>104</v>
      </c>
      <c r="D137" s="322">
        <f t="shared" si="27"/>
        <v>125400</v>
      </c>
      <c r="E137" s="322">
        <v>0</v>
      </c>
      <c r="F137" s="323">
        <v>0</v>
      </c>
      <c r="G137" s="300">
        <f t="shared" si="25"/>
        <v>0</v>
      </c>
      <c r="H137" s="316">
        <f t="shared" si="26"/>
        <v>125400</v>
      </c>
    </row>
    <row r="138" spans="1:16" x14ac:dyDescent="0.2">
      <c r="A138" s="921"/>
      <c r="B138" s="264">
        <v>53206990000000</v>
      </c>
      <c r="C138" s="281" t="s">
        <v>222</v>
      </c>
      <c r="D138" s="322">
        <f t="shared" si="27"/>
        <v>1239727.4000000001</v>
      </c>
      <c r="E138" s="322">
        <v>0</v>
      </c>
      <c r="F138" s="323">
        <v>0</v>
      </c>
      <c r="G138" s="300">
        <f t="shared" si="25"/>
        <v>0</v>
      </c>
      <c r="H138" s="316">
        <f t="shared" si="26"/>
        <v>1239727.4000000001</v>
      </c>
    </row>
    <row r="139" spans="1:16" x14ac:dyDescent="0.2">
      <c r="A139" s="921"/>
      <c r="B139" s="263"/>
      <c r="C139" s="296" t="s">
        <v>66</v>
      </c>
      <c r="D139" s="297">
        <f>SUM(D140:D140)</f>
        <v>0</v>
      </c>
      <c r="E139" s="313"/>
      <c r="F139" s="313"/>
      <c r="G139" s="297">
        <f>SUM(G140:G140)</f>
        <v>0</v>
      </c>
      <c r="H139" s="314">
        <f>SUM(H140:H140)</f>
        <v>0</v>
      </c>
    </row>
    <row r="140" spans="1:16" x14ac:dyDescent="0.2">
      <c r="A140" s="921"/>
      <c r="B140" s="268"/>
      <c r="C140" s="306" t="s">
        <v>223</v>
      </c>
      <c r="D140" s="301">
        <v>0</v>
      </c>
      <c r="E140" s="301">
        <v>0</v>
      </c>
      <c r="F140" s="321">
        <v>0</v>
      </c>
      <c r="G140" s="300">
        <f>E140*F140</f>
        <v>0</v>
      </c>
      <c r="H140" s="325">
        <f>D140+G140</f>
        <v>0</v>
      </c>
      <c r="I140" s="331" t="s">
        <v>226</v>
      </c>
      <c r="J140" s="450">
        <f>+H138+H137+H136+H135+H134+H133+H132+H130+H129+H128+H127+H126+H125+H124+H123+H121+H118+H117+H116+H115+H114+H112+H110+H109+H103+H102+H101+H99+H98+H97+H96+H95+H94+H93+H92+H91+H90+H89</f>
        <v>9591261.9922142848</v>
      </c>
    </row>
    <row r="141" spans="1:16" ht="15" customHeight="1" thickBot="1" x14ac:dyDescent="0.25">
      <c r="A141" s="922"/>
      <c r="B141" s="326"/>
      <c r="C141" s="327" t="s">
        <v>105</v>
      </c>
      <c r="D141" s="328">
        <f>SUM(D78,D105)</f>
        <v>31211535.029089287</v>
      </c>
      <c r="E141" s="329"/>
      <c r="F141" s="329"/>
      <c r="G141" s="328">
        <f>SUM(G78,G105)</f>
        <v>6921697.1395302555</v>
      </c>
      <c r="H141" s="330">
        <f>SUM(H78,H105)</f>
        <v>38133232.168619543</v>
      </c>
      <c r="I141" s="332" t="s">
        <v>227</v>
      </c>
      <c r="J141" s="447">
        <f>+H141-J140</f>
        <v>28541970.176405258</v>
      </c>
    </row>
    <row r="142" spans="1:16" x14ac:dyDescent="0.2">
      <c r="A142" s="898" t="s">
        <v>81</v>
      </c>
      <c r="B142" s="900" t="s">
        <v>75</v>
      </c>
      <c r="C142" s="902" t="s">
        <v>76</v>
      </c>
      <c r="D142" s="904" t="s">
        <v>77</v>
      </c>
      <c r="E142" s="906" t="s">
        <v>78</v>
      </c>
      <c r="F142" s="906"/>
      <c r="G142" s="906"/>
      <c r="H142" s="913" t="s">
        <v>262</v>
      </c>
    </row>
    <row r="143" spans="1:16" ht="40.5" customHeight="1" thickBot="1" x14ac:dyDescent="0.25">
      <c r="A143" s="899"/>
      <c r="B143" s="901"/>
      <c r="C143" s="903"/>
      <c r="D143" s="905"/>
      <c r="E143" s="369" t="s">
        <v>67</v>
      </c>
      <c r="F143" s="370" t="s">
        <v>68</v>
      </c>
      <c r="G143" s="371" t="s">
        <v>6</v>
      </c>
      <c r="H143" s="914"/>
    </row>
    <row r="144" spans="1:16" x14ac:dyDescent="0.2">
      <c r="A144" s="920" t="s">
        <v>213</v>
      </c>
      <c r="B144" s="307"/>
      <c r="C144" s="308" t="s">
        <v>11</v>
      </c>
      <c r="D144" s="309">
        <f>+D145+D150</f>
        <v>97934623.839142859</v>
      </c>
      <c r="E144" s="310"/>
      <c r="F144" s="310"/>
      <c r="G144" s="311">
        <f>SUM(G145,G150)</f>
        <v>19333080</v>
      </c>
      <c r="H144" s="312">
        <f>SUM(H145,H150)</f>
        <v>117267703.83914286</v>
      </c>
    </row>
    <row r="145" spans="1:8" x14ac:dyDescent="0.2">
      <c r="A145" s="921"/>
      <c r="B145" s="263"/>
      <c r="C145" s="372" t="s">
        <v>12</v>
      </c>
      <c r="D145" s="373">
        <f>SUM(D146:D149)</f>
        <v>80006646.0625</v>
      </c>
      <c r="E145" s="374"/>
      <c r="F145" s="374"/>
      <c r="G145" s="375">
        <f>SUM(G146:G149)</f>
        <v>0</v>
      </c>
      <c r="H145" s="314">
        <f>SUM(H146:H149)</f>
        <v>80006646.0625</v>
      </c>
    </row>
    <row r="146" spans="1:8" x14ac:dyDescent="0.2">
      <c r="A146" s="921"/>
      <c r="B146" s="264">
        <v>53103040100000</v>
      </c>
      <c r="C146" s="281" t="s">
        <v>95</v>
      </c>
      <c r="D146" s="376">
        <f>+'F) Remuneraciones'!L29</f>
        <v>71506646.0625</v>
      </c>
      <c r="E146" s="377">
        <v>0</v>
      </c>
      <c r="F146" s="378">
        <v>0</v>
      </c>
      <c r="G146" s="377">
        <f>E146*F146</f>
        <v>0</v>
      </c>
      <c r="H146" s="379">
        <f>D146+G146</f>
        <v>71506646.0625</v>
      </c>
    </row>
    <row r="147" spans="1:8" x14ac:dyDescent="0.2">
      <c r="A147" s="921"/>
      <c r="B147" s="264">
        <v>53103050000000</v>
      </c>
      <c r="C147" s="281" t="s">
        <v>171</v>
      </c>
      <c r="D147" s="380">
        <v>0</v>
      </c>
      <c r="E147" s="381">
        <v>0</v>
      </c>
      <c r="F147" s="382">
        <v>0</v>
      </c>
      <c r="G147" s="377">
        <f>E147*F147</f>
        <v>0</v>
      </c>
      <c r="H147" s="379">
        <f>D147+G147</f>
        <v>0</v>
      </c>
    </row>
    <row r="148" spans="1:8" x14ac:dyDescent="0.2">
      <c r="A148" s="921"/>
      <c r="B148" s="265">
        <v>53103040400000</v>
      </c>
      <c r="C148" s="266" t="s">
        <v>172</v>
      </c>
      <c r="D148" s="380">
        <v>8500000</v>
      </c>
      <c r="E148" s="381">
        <v>0</v>
      </c>
      <c r="F148" s="382">
        <v>0</v>
      </c>
      <c r="G148" s="377">
        <f>E148*F148</f>
        <v>0</v>
      </c>
      <c r="H148" s="379">
        <f>D148+G148</f>
        <v>8500000</v>
      </c>
    </row>
    <row r="149" spans="1:8" x14ac:dyDescent="0.2">
      <c r="A149" s="921"/>
      <c r="B149" s="264">
        <v>53103080010000</v>
      </c>
      <c r="C149" s="281" t="s">
        <v>173</v>
      </c>
      <c r="D149" s="380">
        <v>0</v>
      </c>
      <c r="E149" s="381">
        <v>0</v>
      </c>
      <c r="F149" s="382">
        <v>0</v>
      </c>
      <c r="G149" s="377">
        <f>E149*F149</f>
        <v>0</v>
      </c>
      <c r="H149" s="379">
        <f>D149+G149</f>
        <v>0</v>
      </c>
    </row>
    <row r="150" spans="1:8" x14ac:dyDescent="0.2">
      <c r="A150" s="921"/>
      <c r="B150" s="263"/>
      <c r="C150" s="372" t="s">
        <v>16</v>
      </c>
      <c r="D150" s="373">
        <f>SUM(D151:D170)</f>
        <v>17927977.776642855</v>
      </c>
      <c r="E150" s="374"/>
      <c r="F150" s="374"/>
      <c r="G150" s="373">
        <f>SUM(G151:G170)</f>
        <v>19333080</v>
      </c>
      <c r="H150" s="314">
        <f>SUM(H151:H170)</f>
        <v>37261057.776642852</v>
      </c>
    </row>
    <row r="151" spans="1:8" ht="14.25" customHeight="1" x14ac:dyDescent="0.2">
      <c r="A151" s="921"/>
      <c r="B151" s="264">
        <v>53201010100000</v>
      </c>
      <c r="C151" s="383" t="s">
        <v>174</v>
      </c>
      <c r="D151" s="380">
        <v>0</v>
      </c>
      <c r="E151" s="381">
        <v>2538</v>
      </c>
      <c r="F151" s="382">
        <v>2640</v>
      </c>
      <c r="G151" s="377">
        <f t="shared" ref="G151:G170" si="28">E151*F151</f>
        <v>6700320</v>
      </c>
      <c r="H151" s="379">
        <f t="shared" ref="H151:H156" si="29">D151+G151</f>
        <v>6700320</v>
      </c>
    </row>
    <row r="152" spans="1:8" x14ac:dyDescent="0.2">
      <c r="A152" s="921"/>
      <c r="B152" s="264">
        <v>53201010100000</v>
      </c>
      <c r="C152" s="383" t="s">
        <v>175</v>
      </c>
      <c r="D152" s="380">
        <v>0</v>
      </c>
      <c r="E152" s="381">
        <v>278.5</v>
      </c>
      <c r="F152" s="382">
        <v>45360</v>
      </c>
      <c r="G152" s="377">
        <f t="shared" si="28"/>
        <v>12632760</v>
      </c>
      <c r="H152" s="379">
        <f t="shared" si="29"/>
        <v>12632760</v>
      </c>
    </row>
    <row r="153" spans="1:8" x14ac:dyDescent="0.2">
      <c r="A153" s="921"/>
      <c r="B153" s="264">
        <v>53201010100000</v>
      </c>
      <c r="C153" s="383" t="s">
        <v>176</v>
      </c>
      <c r="D153" s="380">
        <v>0</v>
      </c>
      <c r="E153" s="381">
        <v>0</v>
      </c>
      <c r="F153" s="382">
        <v>0</v>
      </c>
      <c r="G153" s="377">
        <f t="shared" si="28"/>
        <v>0</v>
      </c>
      <c r="H153" s="379">
        <f t="shared" si="29"/>
        <v>0</v>
      </c>
    </row>
    <row r="154" spans="1:8" x14ac:dyDescent="0.2">
      <c r="A154" s="921"/>
      <c r="B154" s="264">
        <v>53202010100000</v>
      </c>
      <c r="C154" s="281" t="s">
        <v>177</v>
      </c>
      <c r="D154" s="377">
        <f>+N82</f>
        <v>1800000</v>
      </c>
      <c r="E154" s="377">
        <v>0</v>
      </c>
      <c r="F154" s="393">
        <v>0</v>
      </c>
      <c r="G154" s="377">
        <f t="shared" si="28"/>
        <v>0</v>
      </c>
      <c r="H154" s="379">
        <f t="shared" si="29"/>
        <v>1800000</v>
      </c>
    </row>
    <row r="155" spans="1:8" x14ac:dyDescent="0.2">
      <c r="A155" s="921"/>
      <c r="B155" s="264">
        <v>53203010100000</v>
      </c>
      <c r="C155" s="281" t="s">
        <v>19</v>
      </c>
      <c r="D155" s="377">
        <f t="shared" ref="D155:D170" si="30">+N83</f>
        <v>834328.80614285707</v>
      </c>
      <c r="E155" s="377">
        <v>0</v>
      </c>
      <c r="F155" s="393">
        <v>0</v>
      </c>
      <c r="G155" s="377">
        <f t="shared" si="28"/>
        <v>0</v>
      </c>
      <c r="H155" s="379">
        <f t="shared" si="29"/>
        <v>834328.80614285707</v>
      </c>
    </row>
    <row r="156" spans="1:8" x14ac:dyDescent="0.2">
      <c r="A156" s="921"/>
      <c r="B156" s="264">
        <v>53203030000000</v>
      </c>
      <c r="C156" s="281" t="s">
        <v>178</v>
      </c>
      <c r="D156" s="377">
        <f t="shared" si="30"/>
        <v>0</v>
      </c>
      <c r="E156" s="377">
        <v>0</v>
      </c>
      <c r="F156" s="393">
        <v>0</v>
      </c>
      <c r="G156" s="377">
        <f t="shared" si="28"/>
        <v>0</v>
      </c>
      <c r="H156" s="379">
        <f t="shared" si="29"/>
        <v>0</v>
      </c>
    </row>
    <row r="157" spans="1:8" x14ac:dyDescent="0.2">
      <c r="A157" s="921"/>
      <c r="B157" s="264">
        <v>53204030000000</v>
      </c>
      <c r="C157" s="281" t="s">
        <v>220</v>
      </c>
      <c r="D157" s="377">
        <f t="shared" si="30"/>
        <v>300000</v>
      </c>
      <c r="E157" s="377">
        <v>0</v>
      </c>
      <c r="F157" s="393">
        <v>0</v>
      </c>
      <c r="G157" s="377">
        <f t="shared" si="28"/>
        <v>0</v>
      </c>
      <c r="H157" s="379">
        <f>D157+G157</f>
        <v>300000</v>
      </c>
    </row>
    <row r="158" spans="1:8" x14ac:dyDescent="0.2">
      <c r="A158" s="921"/>
      <c r="B158" s="264">
        <v>53204100100001</v>
      </c>
      <c r="C158" s="281" t="s">
        <v>22</v>
      </c>
      <c r="D158" s="377">
        <f t="shared" si="30"/>
        <v>1698531.5999999999</v>
      </c>
      <c r="E158" s="377">
        <v>0</v>
      </c>
      <c r="F158" s="393">
        <v>0</v>
      </c>
      <c r="G158" s="377">
        <f t="shared" si="28"/>
        <v>0</v>
      </c>
      <c r="H158" s="379">
        <f t="shared" ref="H158:H170" si="31">D158+G158</f>
        <v>1698531.5999999999</v>
      </c>
    </row>
    <row r="159" spans="1:8" x14ac:dyDescent="0.2">
      <c r="A159" s="921"/>
      <c r="B159" s="264">
        <v>53204130100000</v>
      </c>
      <c r="C159" s="281" t="s">
        <v>180</v>
      </c>
      <c r="D159" s="377">
        <f t="shared" si="30"/>
        <v>0</v>
      </c>
      <c r="E159" s="377">
        <v>0</v>
      </c>
      <c r="F159" s="393">
        <v>0</v>
      </c>
      <c r="G159" s="377">
        <f t="shared" si="28"/>
        <v>0</v>
      </c>
      <c r="H159" s="379">
        <f t="shared" si="31"/>
        <v>0</v>
      </c>
    </row>
    <row r="160" spans="1:8" x14ac:dyDescent="0.2">
      <c r="A160" s="921"/>
      <c r="B160" s="264">
        <v>53205010100000</v>
      </c>
      <c r="C160" s="281" t="s">
        <v>24</v>
      </c>
      <c r="D160" s="377">
        <f t="shared" si="30"/>
        <v>3913632.3600000008</v>
      </c>
      <c r="E160" s="377">
        <v>0</v>
      </c>
      <c r="F160" s="393">
        <v>0</v>
      </c>
      <c r="G160" s="377">
        <f t="shared" si="28"/>
        <v>0</v>
      </c>
      <c r="H160" s="379">
        <f t="shared" si="31"/>
        <v>3913632.3600000008</v>
      </c>
    </row>
    <row r="161" spans="1:12" x14ac:dyDescent="0.2">
      <c r="A161" s="921"/>
      <c r="B161" s="264">
        <v>53205020100000</v>
      </c>
      <c r="C161" s="281" t="s">
        <v>25</v>
      </c>
      <c r="D161" s="377">
        <f t="shared" si="30"/>
        <v>554910.04799999995</v>
      </c>
      <c r="E161" s="377">
        <v>0</v>
      </c>
      <c r="F161" s="393">
        <v>0</v>
      </c>
      <c r="G161" s="377">
        <f t="shared" si="28"/>
        <v>0</v>
      </c>
      <c r="H161" s="379">
        <f t="shared" si="31"/>
        <v>554910.04799999995</v>
      </c>
    </row>
    <row r="162" spans="1:12" x14ac:dyDescent="0.2">
      <c r="A162" s="921"/>
      <c r="B162" s="264">
        <v>53205030100000</v>
      </c>
      <c r="C162" s="281" t="s">
        <v>26</v>
      </c>
      <c r="D162" s="377">
        <f t="shared" si="30"/>
        <v>3513789.7624999997</v>
      </c>
      <c r="E162" s="377">
        <v>0</v>
      </c>
      <c r="F162" s="393">
        <v>0</v>
      </c>
      <c r="G162" s="377">
        <f t="shared" si="28"/>
        <v>0</v>
      </c>
      <c r="H162" s="379">
        <f t="shared" si="31"/>
        <v>3513789.7624999997</v>
      </c>
    </row>
    <row r="163" spans="1:12" x14ac:dyDescent="0.2">
      <c r="A163" s="921"/>
      <c r="B163" s="264">
        <v>53205050100000</v>
      </c>
      <c r="C163" s="281" t="s">
        <v>27</v>
      </c>
      <c r="D163" s="377">
        <f t="shared" si="30"/>
        <v>0</v>
      </c>
      <c r="E163" s="377">
        <v>0</v>
      </c>
      <c r="F163" s="393">
        <v>0</v>
      </c>
      <c r="G163" s="377">
        <f t="shared" si="28"/>
        <v>0</v>
      </c>
      <c r="H163" s="379">
        <f t="shared" si="31"/>
        <v>0</v>
      </c>
    </row>
    <row r="164" spans="1:12" x14ac:dyDescent="0.2">
      <c r="A164" s="921"/>
      <c r="B164" s="264">
        <v>53205070100000</v>
      </c>
      <c r="C164" s="281" t="s">
        <v>29</v>
      </c>
      <c r="D164" s="377">
        <f t="shared" si="30"/>
        <v>192995.4</v>
      </c>
      <c r="E164" s="377">
        <v>0</v>
      </c>
      <c r="F164" s="393">
        <v>0</v>
      </c>
      <c r="G164" s="377">
        <f t="shared" si="28"/>
        <v>0</v>
      </c>
      <c r="H164" s="379">
        <f t="shared" si="31"/>
        <v>192995.4</v>
      </c>
    </row>
    <row r="165" spans="1:12" x14ac:dyDescent="0.2">
      <c r="A165" s="921"/>
      <c r="B165" s="264">
        <v>53208010100000</v>
      </c>
      <c r="C165" s="281" t="s">
        <v>30</v>
      </c>
      <c r="D165" s="377">
        <f t="shared" si="30"/>
        <v>756187.2</v>
      </c>
      <c r="E165" s="377">
        <v>0</v>
      </c>
      <c r="F165" s="393">
        <v>0</v>
      </c>
      <c r="G165" s="377">
        <f t="shared" si="28"/>
        <v>0</v>
      </c>
      <c r="H165" s="379">
        <f t="shared" si="31"/>
        <v>756187.2</v>
      </c>
    </row>
    <row r="166" spans="1:12" ht="12" customHeight="1" x14ac:dyDescent="0.2">
      <c r="A166" s="921"/>
      <c r="B166" s="264">
        <v>53208070100001</v>
      </c>
      <c r="C166" s="281" t="s">
        <v>31</v>
      </c>
      <c r="D166" s="377">
        <f t="shared" si="30"/>
        <v>3985468.1999999997</v>
      </c>
      <c r="E166" s="377">
        <v>0</v>
      </c>
      <c r="F166" s="393">
        <v>0</v>
      </c>
      <c r="G166" s="377">
        <f t="shared" si="28"/>
        <v>0</v>
      </c>
      <c r="H166" s="379">
        <f t="shared" si="31"/>
        <v>3985468.1999999997</v>
      </c>
    </row>
    <row r="167" spans="1:12" x14ac:dyDescent="0.2">
      <c r="A167" s="921"/>
      <c r="B167" s="264">
        <v>53208100100001</v>
      </c>
      <c r="C167" s="281" t="s">
        <v>181</v>
      </c>
      <c r="D167" s="377">
        <f t="shared" si="30"/>
        <v>0</v>
      </c>
      <c r="E167" s="377">
        <v>0</v>
      </c>
      <c r="F167" s="393">
        <v>0</v>
      </c>
      <c r="G167" s="377">
        <f t="shared" si="28"/>
        <v>0</v>
      </c>
      <c r="H167" s="379">
        <f t="shared" si="31"/>
        <v>0</v>
      </c>
    </row>
    <row r="168" spans="1:12" x14ac:dyDescent="0.2">
      <c r="A168" s="921"/>
      <c r="B168" s="264">
        <v>53211030000000</v>
      </c>
      <c r="C168" s="281" t="s">
        <v>32</v>
      </c>
      <c r="D168" s="377">
        <f t="shared" si="30"/>
        <v>0</v>
      </c>
      <c r="E168" s="377">
        <v>0</v>
      </c>
      <c r="F168" s="393">
        <v>0</v>
      </c>
      <c r="G168" s="377">
        <f t="shared" si="28"/>
        <v>0</v>
      </c>
      <c r="H168" s="379">
        <f t="shared" si="31"/>
        <v>0</v>
      </c>
      <c r="L168" s="2" t="s">
        <v>224</v>
      </c>
    </row>
    <row r="169" spans="1:12" x14ac:dyDescent="0.2">
      <c r="A169" s="921"/>
      <c r="B169" s="264">
        <v>53212020100000</v>
      </c>
      <c r="C169" s="281" t="s">
        <v>182</v>
      </c>
      <c r="D169" s="377">
        <f t="shared" si="30"/>
        <v>378134.39999999997</v>
      </c>
      <c r="E169" s="377">
        <v>0</v>
      </c>
      <c r="F169" s="393">
        <v>0</v>
      </c>
      <c r="G169" s="377">
        <f t="shared" si="28"/>
        <v>0</v>
      </c>
      <c r="H169" s="379">
        <f t="shared" si="31"/>
        <v>378134.39999999997</v>
      </c>
    </row>
    <row r="170" spans="1:12" x14ac:dyDescent="0.2">
      <c r="A170" s="921"/>
      <c r="B170" s="264">
        <v>53214020000000</v>
      </c>
      <c r="C170" s="281" t="s">
        <v>183</v>
      </c>
      <c r="D170" s="377">
        <f t="shared" si="30"/>
        <v>0</v>
      </c>
      <c r="E170" s="377">
        <v>0</v>
      </c>
      <c r="F170" s="393">
        <v>0</v>
      </c>
      <c r="G170" s="377">
        <f t="shared" si="28"/>
        <v>0</v>
      </c>
      <c r="H170" s="379">
        <f t="shared" si="31"/>
        <v>0</v>
      </c>
    </row>
    <row r="171" spans="1:12" x14ac:dyDescent="0.2">
      <c r="A171" s="921"/>
      <c r="B171" s="384"/>
      <c r="C171" s="385" t="s">
        <v>34</v>
      </c>
      <c r="D171" s="398">
        <f>SUM(D172,D177,D179,D188,D197,D205)</f>
        <v>18708776.399999999</v>
      </c>
      <c r="E171" s="386"/>
      <c r="F171" s="386"/>
      <c r="G171" s="398">
        <f>SUM(G172,G177,G179,G188,G197,G205)</f>
        <v>1133600</v>
      </c>
      <c r="H171" s="319">
        <f>SUM(H172,H177,H179,H188,H197,H205)</f>
        <v>19842376.399999999</v>
      </c>
    </row>
    <row r="172" spans="1:12" x14ac:dyDescent="0.2">
      <c r="A172" s="921"/>
      <c r="B172" s="263"/>
      <c r="C172" s="372" t="s">
        <v>35</v>
      </c>
      <c r="D172" s="373">
        <f>SUM(D173:D176)</f>
        <v>450000</v>
      </c>
      <c r="E172" s="374"/>
      <c r="F172" s="374"/>
      <c r="G172" s="373">
        <f>SUM(G173:G176)</f>
        <v>785000</v>
      </c>
      <c r="H172" s="387">
        <f>SUM(H173:H176)</f>
        <v>1235000</v>
      </c>
    </row>
    <row r="173" spans="1:12" x14ac:dyDescent="0.2">
      <c r="A173" s="921"/>
      <c r="B173" s="264">
        <v>53202020100000</v>
      </c>
      <c r="C173" s="281" t="s">
        <v>184</v>
      </c>
      <c r="D173" s="380">
        <v>0</v>
      </c>
      <c r="E173" s="381">
        <v>50000</v>
      </c>
      <c r="F173" s="350">
        <v>15</v>
      </c>
      <c r="G173" s="377">
        <f>E173*F173</f>
        <v>750000</v>
      </c>
      <c r="H173" s="379">
        <f>D173+G173</f>
        <v>750000</v>
      </c>
    </row>
    <row r="174" spans="1:12" x14ac:dyDescent="0.2">
      <c r="A174" s="921"/>
      <c r="B174" s="264">
        <v>53202030000000</v>
      </c>
      <c r="C174" s="281" t="s">
        <v>185</v>
      </c>
      <c r="D174" s="380">
        <v>0</v>
      </c>
      <c r="E174" s="381">
        <v>35000</v>
      </c>
      <c r="F174" s="350">
        <v>1</v>
      </c>
      <c r="G174" s="377">
        <f>E174*F174</f>
        <v>35000</v>
      </c>
      <c r="H174" s="379">
        <f>D174+G174</f>
        <v>35000</v>
      </c>
    </row>
    <row r="175" spans="1:12" x14ac:dyDescent="0.2">
      <c r="A175" s="921"/>
      <c r="B175" s="264">
        <v>53211020000000</v>
      </c>
      <c r="C175" s="281" t="s">
        <v>41</v>
      </c>
      <c r="D175" s="389">
        <f>+N101</f>
        <v>0</v>
      </c>
      <c r="E175" s="389">
        <v>0</v>
      </c>
      <c r="F175" s="390">
        <v>0</v>
      </c>
      <c r="G175" s="377">
        <f>E175*F175</f>
        <v>0</v>
      </c>
      <c r="H175" s="379">
        <f>D175+G175</f>
        <v>0</v>
      </c>
    </row>
    <row r="176" spans="1:12" x14ac:dyDescent="0.2">
      <c r="A176" s="921"/>
      <c r="B176" s="264">
        <v>53101040600000</v>
      </c>
      <c r="C176" s="281" t="s">
        <v>186</v>
      </c>
      <c r="D176" s="389">
        <f>+N102</f>
        <v>450000</v>
      </c>
      <c r="E176" s="389">
        <v>0</v>
      </c>
      <c r="F176" s="390">
        <v>0</v>
      </c>
      <c r="G176" s="377">
        <f>E176*F176</f>
        <v>0</v>
      </c>
      <c r="H176" s="379">
        <f>D176+G176</f>
        <v>450000</v>
      </c>
    </row>
    <row r="177" spans="1:8" x14ac:dyDescent="0.2">
      <c r="A177" s="921"/>
      <c r="B177" s="263"/>
      <c r="C177" s="372" t="s">
        <v>42</v>
      </c>
      <c r="D177" s="373">
        <f>SUM(D178)</f>
        <v>0</v>
      </c>
      <c r="E177" s="374"/>
      <c r="F177" s="374"/>
      <c r="G177" s="391">
        <f>SUM(G178:G178)</f>
        <v>0</v>
      </c>
      <c r="H177" s="387">
        <f>SUM(H178:H178)</f>
        <v>0</v>
      </c>
    </row>
    <row r="178" spans="1:8" x14ac:dyDescent="0.2">
      <c r="A178" s="921"/>
      <c r="B178" s="267">
        <v>53205990000000</v>
      </c>
      <c r="C178" s="281" t="s">
        <v>44</v>
      </c>
      <c r="D178" s="389">
        <f>+N104</f>
        <v>0</v>
      </c>
      <c r="E178" s="389">
        <v>0</v>
      </c>
      <c r="F178" s="390">
        <v>0</v>
      </c>
      <c r="G178" s="377">
        <f>E178*F178</f>
        <v>0</v>
      </c>
      <c r="H178" s="379">
        <f>D178+G178</f>
        <v>0</v>
      </c>
    </row>
    <row r="179" spans="1:8" x14ac:dyDescent="0.2">
      <c r="A179" s="921"/>
      <c r="B179" s="263"/>
      <c r="C179" s="372" t="s">
        <v>45</v>
      </c>
      <c r="D179" s="373">
        <f>SUM(D180:D187)</f>
        <v>8456590.8000000007</v>
      </c>
      <c r="E179" s="374"/>
      <c r="F179" s="374"/>
      <c r="G179" s="373">
        <f>SUM(G180:G187)</f>
        <v>0</v>
      </c>
      <c r="H179" s="387">
        <f>SUM(H180:H187)</f>
        <v>8456590.8000000007</v>
      </c>
    </row>
    <row r="180" spans="1:8" x14ac:dyDescent="0.2">
      <c r="A180" s="921"/>
      <c r="B180" s="264">
        <v>53204010000000</v>
      </c>
      <c r="C180" s="281" t="s">
        <v>47</v>
      </c>
      <c r="D180" s="389">
        <f>+N106</f>
        <v>455819.39999999997</v>
      </c>
      <c r="E180" s="389">
        <v>0</v>
      </c>
      <c r="F180" s="390">
        <v>0</v>
      </c>
      <c r="G180" s="389">
        <f t="shared" ref="G180:G187" si="32">E180*F180</f>
        <v>0</v>
      </c>
      <c r="H180" s="379">
        <f t="shared" ref="H180:H187" si="33">D180+G180</f>
        <v>455819.39999999997</v>
      </c>
    </row>
    <row r="181" spans="1:8" x14ac:dyDescent="0.2">
      <c r="A181" s="921"/>
      <c r="B181" s="267">
        <v>53204040200000</v>
      </c>
      <c r="C181" s="281" t="s">
        <v>221</v>
      </c>
      <c r="D181" s="389">
        <f t="shared" ref="D181:D187" si="34">+N107</f>
        <v>600000</v>
      </c>
      <c r="E181" s="389">
        <v>0</v>
      </c>
      <c r="F181" s="390">
        <v>0</v>
      </c>
      <c r="G181" s="389">
        <f t="shared" si="32"/>
        <v>0</v>
      </c>
      <c r="H181" s="379">
        <f t="shared" si="33"/>
        <v>600000</v>
      </c>
    </row>
    <row r="182" spans="1:8" x14ac:dyDescent="0.2">
      <c r="A182" s="921"/>
      <c r="B182" s="264">
        <v>53204060000000</v>
      </c>
      <c r="C182" s="281" t="s">
        <v>49</v>
      </c>
      <c r="D182" s="389">
        <f t="shared" si="34"/>
        <v>0</v>
      </c>
      <c r="E182" s="389">
        <v>0</v>
      </c>
      <c r="F182" s="390">
        <v>0</v>
      </c>
      <c r="G182" s="389">
        <f t="shared" si="32"/>
        <v>0</v>
      </c>
      <c r="H182" s="379">
        <f t="shared" si="33"/>
        <v>0</v>
      </c>
    </row>
    <row r="183" spans="1:8" x14ac:dyDescent="0.2">
      <c r="A183" s="921"/>
      <c r="B183" s="264">
        <v>53204070000000</v>
      </c>
      <c r="C183" s="281" t="s">
        <v>50</v>
      </c>
      <c r="D183" s="389">
        <f t="shared" si="34"/>
        <v>1700771.4</v>
      </c>
      <c r="E183" s="389">
        <v>0</v>
      </c>
      <c r="F183" s="390">
        <v>0</v>
      </c>
      <c r="G183" s="389">
        <f t="shared" si="32"/>
        <v>0</v>
      </c>
      <c r="H183" s="379">
        <f t="shared" si="33"/>
        <v>1700771.4</v>
      </c>
    </row>
    <row r="184" spans="1:8" x14ac:dyDescent="0.2">
      <c r="A184" s="921"/>
      <c r="B184" s="264">
        <v>53204080000000</v>
      </c>
      <c r="C184" s="281" t="s">
        <v>51</v>
      </c>
      <c r="D184" s="389">
        <f t="shared" si="34"/>
        <v>1200000</v>
      </c>
      <c r="E184" s="389">
        <v>0</v>
      </c>
      <c r="F184" s="390">
        <v>0</v>
      </c>
      <c r="G184" s="389">
        <f t="shared" si="32"/>
        <v>0</v>
      </c>
      <c r="H184" s="379">
        <f t="shared" si="33"/>
        <v>1200000</v>
      </c>
    </row>
    <row r="185" spans="1:8" x14ac:dyDescent="0.2">
      <c r="A185" s="921"/>
      <c r="B185" s="264">
        <v>53214010000000</v>
      </c>
      <c r="C185" s="281" t="s">
        <v>52</v>
      </c>
      <c r="D185" s="389">
        <f t="shared" si="34"/>
        <v>1800000</v>
      </c>
      <c r="E185" s="392">
        <v>0</v>
      </c>
      <c r="F185" s="390">
        <v>0</v>
      </c>
      <c r="G185" s="389">
        <f t="shared" si="32"/>
        <v>0</v>
      </c>
      <c r="H185" s="379">
        <f t="shared" si="33"/>
        <v>1800000</v>
      </c>
    </row>
    <row r="186" spans="1:8" x14ac:dyDescent="0.2">
      <c r="A186" s="921"/>
      <c r="B186" s="264">
        <v>53214040000000</v>
      </c>
      <c r="C186" s="281" t="s">
        <v>187</v>
      </c>
      <c r="D186" s="389">
        <f t="shared" si="34"/>
        <v>900000</v>
      </c>
      <c r="E186" s="392">
        <v>0</v>
      </c>
      <c r="F186" s="390">
        <v>0</v>
      </c>
      <c r="G186" s="389">
        <f t="shared" si="32"/>
        <v>0</v>
      </c>
      <c r="H186" s="379">
        <f t="shared" si="33"/>
        <v>900000</v>
      </c>
    </row>
    <row r="187" spans="1:8" x14ac:dyDescent="0.2">
      <c r="A187" s="921"/>
      <c r="B187" s="265">
        <v>53204020100000</v>
      </c>
      <c r="C187" s="281" t="s">
        <v>179</v>
      </c>
      <c r="D187" s="389">
        <f t="shared" si="34"/>
        <v>1800000</v>
      </c>
      <c r="E187" s="389">
        <v>0</v>
      </c>
      <c r="F187" s="390">
        <v>0</v>
      </c>
      <c r="G187" s="389">
        <f t="shared" si="32"/>
        <v>0</v>
      </c>
      <c r="H187" s="379">
        <f t="shared" si="33"/>
        <v>1800000</v>
      </c>
    </row>
    <row r="188" spans="1:8" x14ac:dyDescent="0.2">
      <c r="A188" s="921"/>
      <c r="B188" s="263"/>
      <c r="C188" s="372" t="s">
        <v>55</v>
      </c>
      <c r="D188" s="373">
        <f>SUM(D189:D196)</f>
        <v>4206803.4000000004</v>
      </c>
      <c r="E188" s="374"/>
      <c r="F188" s="374"/>
      <c r="G188" s="373">
        <f>SUM(G189:G196)</f>
        <v>348600</v>
      </c>
      <c r="H188" s="314">
        <f>SUM(H189:H196)</f>
        <v>4555403.4000000004</v>
      </c>
    </row>
    <row r="189" spans="1:8" x14ac:dyDescent="0.2">
      <c r="A189" s="921"/>
      <c r="B189" s="264">
        <v>53207010000000</v>
      </c>
      <c r="C189" s="281" t="s">
        <v>56</v>
      </c>
      <c r="D189" s="389">
        <f>+N115</f>
        <v>0</v>
      </c>
      <c r="E189" s="389">
        <v>0</v>
      </c>
      <c r="F189" s="390">
        <v>0</v>
      </c>
      <c r="G189" s="389">
        <f t="shared" ref="G189:G196" si="35">E189*F189</f>
        <v>0</v>
      </c>
      <c r="H189" s="379">
        <f t="shared" ref="H189:H196" si="36">D189+G189</f>
        <v>0</v>
      </c>
    </row>
    <row r="190" spans="1:8" x14ac:dyDescent="0.2">
      <c r="A190" s="921"/>
      <c r="B190" s="264">
        <v>53207020000000</v>
      </c>
      <c r="C190" s="281" t="s">
        <v>57</v>
      </c>
      <c r="D190" s="389">
        <f>+N116</f>
        <v>0</v>
      </c>
      <c r="E190" s="389">
        <v>0</v>
      </c>
      <c r="F190" s="390">
        <v>0</v>
      </c>
      <c r="G190" s="389">
        <f t="shared" si="35"/>
        <v>0</v>
      </c>
      <c r="H190" s="379">
        <f t="shared" si="36"/>
        <v>0</v>
      </c>
    </row>
    <row r="191" spans="1:8" x14ac:dyDescent="0.2">
      <c r="A191" s="921"/>
      <c r="B191" s="264">
        <v>53208020000000</v>
      </c>
      <c r="C191" s="281" t="s">
        <v>170</v>
      </c>
      <c r="D191" s="389">
        <f>+N117</f>
        <v>0</v>
      </c>
      <c r="E191" s="389">
        <v>0</v>
      </c>
      <c r="F191" s="390">
        <v>0</v>
      </c>
      <c r="G191" s="389">
        <f t="shared" si="35"/>
        <v>0</v>
      </c>
      <c r="H191" s="379">
        <f t="shared" si="36"/>
        <v>0</v>
      </c>
    </row>
    <row r="192" spans="1:8" x14ac:dyDescent="0.2">
      <c r="A192" s="921"/>
      <c r="B192" s="264">
        <v>53208990000000</v>
      </c>
      <c r="C192" s="281" t="s">
        <v>188</v>
      </c>
      <c r="D192" s="389">
        <f>+N118</f>
        <v>726803.4</v>
      </c>
      <c r="E192" s="389">
        <v>0</v>
      </c>
      <c r="F192" s="390">
        <v>0</v>
      </c>
      <c r="G192" s="389">
        <f t="shared" si="35"/>
        <v>0</v>
      </c>
      <c r="H192" s="379">
        <f t="shared" si="36"/>
        <v>726803.4</v>
      </c>
    </row>
    <row r="193" spans="1:10" x14ac:dyDescent="0.2">
      <c r="A193" s="921"/>
      <c r="B193" s="265">
        <v>53210020300000</v>
      </c>
      <c r="C193" s="281" t="s">
        <v>190</v>
      </c>
      <c r="D193" s="534">
        <v>0</v>
      </c>
      <c r="E193" s="647">
        <v>8300</v>
      </c>
      <c r="F193" s="393">
        <f>+'B) Reajuste Tarifas y Ocupación'!I36</f>
        <v>42</v>
      </c>
      <c r="G193" s="377">
        <f t="shared" si="35"/>
        <v>348600</v>
      </c>
      <c r="H193" s="379">
        <f>D193+G193</f>
        <v>348600</v>
      </c>
    </row>
    <row r="194" spans="1:10" x14ac:dyDescent="0.2">
      <c r="A194" s="921"/>
      <c r="B194" s="264">
        <v>53208990000000</v>
      </c>
      <c r="C194" s="281" t="s">
        <v>191</v>
      </c>
      <c r="D194" s="377">
        <f>+N119</f>
        <v>0</v>
      </c>
      <c r="E194" s="377">
        <v>0</v>
      </c>
      <c r="F194" s="393">
        <v>0</v>
      </c>
      <c r="G194" s="377">
        <f t="shared" si="35"/>
        <v>0</v>
      </c>
      <c r="H194" s="379">
        <f>D194+G194</f>
        <v>0</v>
      </c>
    </row>
    <row r="195" spans="1:10" x14ac:dyDescent="0.2">
      <c r="A195" s="921"/>
      <c r="B195" s="264">
        <v>53209990000000</v>
      </c>
      <c r="C195" s="281" t="s">
        <v>189</v>
      </c>
      <c r="D195" s="377">
        <f>+N120</f>
        <v>3480000</v>
      </c>
      <c r="E195" s="377">
        <v>0</v>
      </c>
      <c r="F195" s="393">
        <v>0</v>
      </c>
      <c r="G195" s="377">
        <f t="shared" si="35"/>
        <v>0</v>
      </c>
      <c r="H195" s="379">
        <f t="shared" si="36"/>
        <v>3480000</v>
      </c>
    </row>
    <row r="196" spans="1:10" x14ac:dyDescent="0.2">
      <c r="A196" s="921"/>
      <c r="B196" s="264">
        <v>53210020100000</v>
      </c>
      <c r="C196" s="281" t="s">
        <v>64</v>
      </c>
      <c r="D196" s="377">
        <f>+N121</f>
        <v>0</v>
      </c>
      <c r="E196" s="377">
        <v>0</v>
      </c>
      <c r="F196" s="393">
        <v>0</v>
      </c>
      <c r="G196" s="377">
        <f t="shared" si="35"/>
        <v>0</v>
      </c>
      <c r="H196" s="379">
        <f t="shared" si="36"/>
        <v>0</v>
      </c>
    </row>
    <row r="197" spans="1:10" x14ac:dyDescent="0.2">
      <c r="A197" s="921"/>
      <c r="B197" s="263"/>
      <c r="C197" s="372" t="s">
        <v>65</v>
      </c>
      <c r="D197" s="373">
        <f>SUM(D198:D204)</f>
        <v>5595382.1999999993</v>
      </c>
      <c r="E197" s="374"/>
      <c r="F197" s="374"/>
      <c r="G197" s="373">
        <f>SUM(G198:G204)</f>
        <v>0</v>
      </c>
      <c r="H197" s="314">
        <f>SUM(H198:H204)</f>
        <v>5595382.1999999993</v>
      </c>
    </row>
    <row r="198" spans="1:10" x14ac:dyDescent="0.2">
      <c r="A198" s="921"/>
      <c r="B198" s="264">
        <v>53206030000000</v>
      </c>
      <c r="C198" s="281" t="s">
        <v>99</v>
      </c>
      <c r="D198" s="389">
        <f>+N123</f>
        <v>0</v>
      </c>
      <c r="E198" s="389">
        <v>0</v>
      </c>
      <c r="F198" s="390">
        <v>0</v>
      </c>
      <c r="G198" s="377">
        <f t="shared" ref="G198:G204" si="37">E198*F198</f>
        <v>0</v>
      </c>
      <c r="H198" s="379">
        <f t="shared" ref="H198:H204" si="38">D198+G198</f>
        <v>0</v>
      </c>
    </row>
    <row r="199" spans="1:10" x14ac:dyDescent="0.2">
      <c r="A199" s="921"/>
      <c r="B199" s="264">
        <v>53206040000000</v>
      </c>
      <c r="C199" s="281" t="s">
        <v>100</v>
      </c>
      <c r="D199" s="389">
        <f t="shared" ref="D199:D204" si="39">+N124</f>
        <v>0</v>
      </c>
      <c r="E199" s="389">
        <v>0</v>
      </c>
      <c r="F199" s="390">
        <v>0</v>
      </c>
      <c r="G199" s="377">
        <f t="shared" si="37"/>
        <v>0</v>
      </c>
      <c r="H199" s="379">
        <f t="shared" si="38"/>
        <v>0</v>
      </c>
    </row>
    <row r="200" spans="1:10" x14ac:dyDescent="0.2">
      <c r="A200" s="921"/>
      <c r="B200" s="264">
        <v>53206060000000</v>
      </c>
      <c r="C200" s="281" t="s">
        <v>192</v>
      </c>
      <c r="D200" s="389">
        <f t="shared" si="39"/>
        <v>1500000</v>
      </c>
      <c r="E200" s="389">
        <v>0</v>
      </c>
      <c r="F200" s="390">
        <v>0</v>
      </c>
      <c r="G200" s="377">
        <f t="shared" si="37"/>
        <v>0</v>
      </c>
      <c r="H200" s="379">
        <f t="shared" si="38"/>
        <v>1500000</v>
      </c>
    </row>
    <row r="201" spans="1:10" x14ac:dyDescent="0.2">
      <c r="A201" s="921"/>
      <c r="B201" s="264">
        <v>53206070000000</v>
      </c>
      <c r="C201" s="281" t="s">
        <v>102</v>
      </c>
      <c r="D201" s="389">
        <f t="shared" si="39"/>
        <v>0</v>
      </c>
      <c r="E201" s="389">
        <v>0</v>
      </c>
      <c r="F201" s="390">
        <v>0</v>
      </c>
      <c r="G201" s="377">
        <f t="shared" si="37"/>
        <v>0</v>
      </c>
      <c r="H201" s="379">
        <f t="shared" si="38"/>
        <v>0</v>
      </c>
    </row>
    <row r="202" spans="1:10" x14ac:dyDescent="0.2">
      <c r="A202" s="921"/>
      <c r="B202" s="264">
        <v>53206990000000</v>
      </c>
      <c r="C202" s="281" t="s">
        <v>193</v>
      </c>
      <c r="D202" s="389">
        <f t="shared" si="39"/>
        <v>0</v>
      </c>
      <c r="E202" s="389">
        <v>0</v>
      </c>
      <c r="F202" s="390">
        <v>0</v>
      </c>
      <c r="G202" s="377">
        <f t="shared" si="37"/>
        <v>0</v>
      </c>
      <c r="H202" s="379">
        <f t="shared" si="38"/>
        <v>0</v>
      </c>
    </row>
    <row r="203" spans="1:10" x14ac:dyDescent="0.2">
      <c r="A203" s="921"/>
      <c r="B203" s="264">
        <v>53208030000000</v>
      </c>
      <c r="C203" s="281" t="s">
        <v>104</v>
      </c>
      <c r="D203" s="389">
        <f t="shared" si="39"/>
        <v>376200</v>
      </c>
      <c r="E203" s="389">
        <v>0</v>
      </c>
      <c r="F203" s="390">
        <v>0</v>
      </c>
      <c r="G203" s="377">
        <f t="shared" si="37"/>
        <v>0</v>
      </c>
      <c r="H203" s="379">
        <f t="shared" si="38"/>
        <v>376200</v>
      </c>
    </row>
    <row r="204" spans="1:10" x14ac:dyDescent="0.2">
      <c r="A204" s="921"/>
      <c r="B204" s="264">
        <v>53206990000000</v>
      </c>
      <c r="C204" s="281" t="s">
        <v>222</v>
      </c>
      <c r="D204" s="389">
        <f t="shared" si="39"/>
        <v>3719182.1999999997</v>
      </c>
      <c r="E204" s="389">
        <v>0</v>
      </c>
      <c r="F204" s="390">
        <v>0</v>
      </c>
      <c r="G204" s="377">
        <f t="shared" si="37"/>
        <v>0</v>
      </c>
      <c r="H204" s="379">
        <f t="shared" si="38"/>
        <v>3719182.1999999997</v>
      </c>
    </row>
    <row r="205" spans="1:10" x14ac:dyDescent="0.2">
      <c r="A205" s="921"/>
      <c r="B205" s="263"/>
      <c r="C205" s="372" t="s">
        <v>66</v>
      </c>
      <c r="D205" s="373">
        <f>SUM(D206:D206)</f>
        <v>0</v>
      </c>
      <c r="E205" s="374"/>
      <c r="F205" s="374"/>
      <c r="G205" s="373">
        <f>SUM(G206:G206)</f>
        <v>0</v>
      </c>
      <c r="H205" s="314">
        <f>SUM(H206:H206)</f>
        <v>0</v>
      </c>
    </row>
    <row r="206" spans="1:10" x14ac:dyDescent="0.2">
      <c r="A206" s="921"/>
      <c r="B206" s="268"/>
      <c r="C206" s="306" t="s">
        <v>223</v>
      </c>
      <c r="D206" s="380">
        <v>0</v>
      </c>
      <c r="E206" s="380">
        <v>0</v>
      </c>
      <c r="F206" s="388">
        <v>0</v>
      </c>
      <c r="G206" s="377">
        <f>E206*F206</f>
        <v>0</v>
      </c>
      <c r="H206" s="394">
        <f>D206+G206</f>
        <v>0</v>
      </c>
      <c r="I206" s="399" t="s">
        <v>226</v>
      </c>
      <c r="J206" s="449">
        <f>+H204+H203+H202+H201+H200+H199+H198+H196+H195+H194+H193+H192+H191+H190+H189+H187+H184+H183+H182+H181+H180+H178+H176+H175+H169+H168+H167+H165+H164+H163+H162+H161+H160+H159+H158+H157+H156+H155</f>
        <v>28499885.976642855</v>
      </c>
    </row>
    <row r="207" spans="1:10" ht="13.5" thickBot="1" x14ac:dyDescent="0.25">
      <c r="A207" s="922"/>
      <c r="B207" s="395"/>
      <c r="C207" s="396" t="s">
        <v>105</v>
      </c>
      <c r="D207" s="328">
        <f>SUM(D144,D171)</f>
        <v>116643400.23914286</v>
      </c>
      <c r="E207" s="329"/>
      <c r="F207" s="329"/>
      <c r="G207" s="328">
        <f>SUM(G144,G171)</f>
        <v>20466680</v>
      </c>
      <c r="H207" s="397">
        <f>SUM(H144,H171)</f>
        <v>137110080.23914286</v>
      </c>
      <c r="I207" s="400" t="s">
        <v>227</v>
      </c>
      <c r="J207" s="448">
        <f>+H207-J206</f>
        <v>108610194.26250002</v>
      </c>
    </row>
    <row r="208" spans="1:10" x14ac:dyDescent="0.2">
      <c r="A208" s="898" t="s">
        <v>81</v>
      </c>
      <c r="B208" s="900" t="s">
        <v>75</v>
      </c>
      <c r="C208" s="902" t="s">
        <v>76</v>
      </c>
      <c r="D208" s="904" t="s">
        <v>77</v>
      </c>
      <c r="E208" s="906" t="s">
        <v>78</v>
      </c>
      <c r="F208" s="906"/>
      <c r="G208" s="906"/>
      <c r="H208" s="913" t="s">
        <v>262</v>
      </c>
    </row>
    <row r="209" spans="1:8" ht="26.25" thickBot="1" x14ac:dyDescent="0.25">
      <c r="A209" s="899"/>
      <c r="B209" s="901"/>
      <c r="C209" s="903"/>
      <c r="D209" s="905"/>
      <c r="E209" s="369" t="s">
        <v>67</v>
      </c>
      <c r="F209" s="370" t="s">
        <v>68</v>
      </c>
      <c r="G209" s="371" t="s">
        <v>6</v>
      </c>
      <c r="H209" s="914"/>
    </row>
    <row r="210" spans="1:8" x14ac:dyDescent="0.2">
      <c r="A210" s="920" t="s">
        <v>214</v>
      </c>
      <c r="B210" s="307"/>
      <c r="C210" s="308" t="s">
        <v>11</v>
      </c>
      <c r="D210" s="309">
        <f>+D211+D216</f>
        <v>62329982.519714281</v>
      </c>
      <c r="E210" s="310"/>
      <c r="F210" s="310"/>
      <c r="G210" s="311">
        <f>SUM(G211,G216)</f>
        <v>4482360</v>
      </c>
      <c r="H210" s="312">
        <f>SUM(H211,H216)</f>
        <v>66812342.519714281</v>
      </c>
    </row>
    <row r="211" spans="1:8" x14ac:dyDescent="0.2">
      <c r="A211" s="921"/>
      <c r="B211" s="263"/>
      <c r="C211" s="372" t="s">
        <v>12</v>
      </c>
      <c r="D211" s="373">
        <f>SUM(D212:D215)</f>
        <v>56353989.927499995</v>
      </c>
      <c r="E211" s="374"/>
      <c r="F211" s="374"/>
      <c r="G211" s="375">
        <f>SUM(G212:G215)</f>
        <v>0</v>
      </c>
      <c r="H211" s="314">
        <f>SUM(H212:H215)</f>
        <v>56353989.927499995</v>
      </c>
    </row>
    <row r="212" spans="1:8" x14ac:dyDescent="0.2">
      <c r="A212" s="921"/>
      <c r="B212" s="264">
        <v>53103040100000</v>
      </c>
      <c r="C212" s="281" t="s">
        <v>95</v>
      </c>
      <c r="D212" s="376">
        <f>+'F) Remuneraciones'!L44</f>
        <v>44353989.927499995</v>
      </c>
      <c r="E212" s="377">
        <v>0</v>
      </c>
      <c r="F212" s="378">
        <v>0</v>
      </c>
      <c r="G212" s="377">
        <f>E212*F212</f>
        <v>0</v>
      </c>
      <c r="H212" s="379">
        <f>D212+G212</f>
        <v>44353989.927499995</v>
      </c>
    </row>
    <row r="213" spans="1:8" x14ac:dyDescent="0.2">
      <c r="A213" s="921"/>
      <c r="B213" s="264">
        <v>53103050000000</v>
      </c>
      <c r="C213" s="281" t="s">
        <v>171</v>
      </c>
      <c r="D213" s="380">
        <v>0</v>
      </c>
      <c r="E213" s="381">
        <v>0</v>
      </c>
      <c r="F213" s="382">
        <v>0</v>
      </c>
      <c r="G213" s="377">
        <f>E213*F213</f>
        <v>0</v>
      </c>
      <c r="H213" s="379">
        <f>D213+G213</f>
        <v>0</v>
      </c>
    </row>
    <row r="214" spans="1:8" x14ac:dyDescent="0.2">
      <c r="A214" s="921"/>
      <c r="B214" s="265">
        <v>53103040400000</v>
      </c>
      <c r="C214" s="266" t="s">
        <v>172</v>
      </c>
      <c r="D214" s="380">
        <v>12000000</v>
      </c>
      <c r="E214" s="381">
        <v>0</v>
      </c>
      <c r="F214" s="382">
        <v>0</v>
      </c>
      <c r="G214" s="377">
        <f>E214*F214</f>
        <v>0</v>
      </c>
      <c r="H214" s="379">
        <f>D214+G214</f>
        <v>12000000</v>
      </c>
    </row>
    <row r="215" spans="1:8" x14ac:dyDescent="0.2">
      <c r="A215" s="921"/>
      <c r="B215" s="264">
        <v>53103080010000</v>
      </c>
      <c r="C215" s="281" t="s">
        <v>173</v>
      </c>
      <c r="D215" s="380">
        <v>0</v>
      </c>
      <c r="E215" s="381">
        <v>0</v>
      </c>
      <c r="F215" s="382">
        <v>0</v>
      </c>
      <c r="G215" s="377">
        <f>E215*F215</f>
        <v>0</v>
      </c>
      <c r="H215" s="379">
        <f>D215+G215</f>
        <v>0</v>
      </c>
    </row>
    <row r="216" spans="1:8" x14ac:dyDescent="0.2">
      <c r="A216" s="921"/>
      <c r="B216" s="263"/>
      <c r="C216" s="372" t="s">
        <v>16</v>
      </c>
      <c r="D216" s="373">
        <f>SUM(D217:D236)</f>
        <v>5975992.5922142863</v>
      </c>
      <c r="E216" s="374"/>
      <c r="F216" s="374"/>
      <c r="G216" s="373">
        <f>SUM(G217:G236)</f>
        <v>4482360</v>
      </c>
      <c r="H216" s="314">
        <f>SUM(H217:H236)</f>
        <v>10458352.592214288</v>
      </c>
    </row>
    <row r="217" spans="1:8" x14ac:dyDescent="0.2">
      <c r="A217" s="921"/>
      <c r="B217" s="264">
        <v>53201010100000</v>
      </c>
      <c r="C217" s="383" t="s">
        <v>174</v>
      </c>
      <c r="D217" s="380">
        <v>0</v>
      </c>
      <c r="E217" s="381">
        <v>2538</v>
      </c>
      <c r="F217" s="382">
        <v>660</v>
      </c>
      <c r="G217" s="377">
        <f t="shared" ref="G217:G236" si="40">E217*F217</f>
        <v>1675080</v>
      </c>
      <c r="H217" s="379">
        <f t="shared" ref="H217:H222" si="41">D217+G217</f>
        <v>1675080</v>
      </c>
    </row>
    <row r="218" spans="1:8" x14ac:dyDescent="0.2">
      <c r="A218" s="921"/>
      <c r="B218" s="264">
        <v>53201010100000</v>
      </c>
      <c r="C218" s="383" t="s">
        <v>175</v>
      </c>
      <c r="D218" s="380">
        <v>0</v>
      </c>
      <c r="E218" s="381">
        <v>278.5</v>
      </c>
      <c r="F218" s="382">
        <v>10080</v>
      </c>
      <c r="G218" s="377">
        <f t="shared" si="40"/>
        <v>2807280</v>
      </c>
      <c r="H218" s="379">
        <f t="shared" si="41"/>
        <v>2807280</v>
      </c>
    </row>
    <row r="219" spans="1:8" x14ac:dyDescent="0.2">
      <c r="A219" s="921"/>
      <c r="B219" s="264">
        <v>53201010100000</v>
      </c>
      <c r="C219" s="383" t="s">
        <v>176</v>
      </c>
      <c r="D219" s="380">
        <v>0</v>
      </c>
      <c r="E219" s="381">
        <v>0</v>
      </c>
      <c r="F219" s="382">
        <v>0</v>
      </c>
      <c r="G219" s="377">
        <f t="shared" si="40"/>
        <v>0</v>
      </c>
      <c r="H219" s="379">
        <f t="shared" si="41"/>
        <v>0</v>
      </c>
    </row>
    <row r="220" spans="1:8" x14ac:dyDescent="0.2">
      <c r="A220" s="921"/>
      <c r="B220" s="264">
        <v>53202010100000</v>
      </c>
      <c r="C220" s="281" t="s">
        <v>177</v>
      </c>
      <c r="D220" s="377">
        <f>+O82</f>
        <v>600000</v>
      </c>
      <c r="E220" s="377">
        <v>0</v>
      </c>
      <c r="F220" s="393">
        <v>0</v>
      </c>
      <c r="G220" s="377">
        <f t="shared" si="40"/>
        <v>0</v>
      </c>
      <c r="H220" s="379">
        <f t="shared" si="41"/>
        <v>600000</v>
      </c>
    </row>
    <row r="221" spans="1:8" x14ac:dyDescent="0.2">
      <c r="A221" s="921"/>
      <c r="B221" s="264">
        <v>53203010100000</v>
      </c>
      <c r="C221" s="281" t="s">
        <v>19</v>
      </c>
      <c r="D221" s="377">
        <f t="shared" ref="D221:D236" si="42">+O83</f>
        <v>278109.60204761906</v>
      </c>
      <c r="E221" s="377">
        <v>0</v>
      </c>
      <c r="F221" s="393">
        <v>0</v>
      </c>
      <c r="G221" s="377">
        <f t="shared" si="40"/>
        <v>0</v>
      </c>
      <c r="H221" s="379">
        <f t="shared" si="41"/>
        <v>278109.60204761906</v>
      </c>
    </row>
    <row r="222" spans="1:8" x14ac:dyDescent="0.2">
      <c r="A222" s="921"/>
      <c r="B222" s="264">
        <v>53203030000000</v>
      </c>
      <c r="C222" s="281" t="s">
        <v>178</v>
      </c>
      <c r="D222" s="377">
        <f t="shared" si="42"/>
        <v>0</v>
      </c>
      <c r="E222" s="377">
        <v>0</v>
      </c>
      <c r="F222" s="393">
        <v>0</v>
      </c>
      <c r="G222" s="377">
        <f t="shared" si="40"/>
        <v>0</v>
      </c>
      <c r="H222" s="379">
        <f t="shared" si="41"/>
        <v>0</v>
      </c>
    </row>
    <row r="223" spans="1:8" x14ac:dyDescent="0.2">
      <c r="A223" s="921"/>
      <c r="B223" s="264">
        <v>53204030000000</v>
      </c>
      <c r="C223" s="281" t="s">
        <v>220</v>
      </c>
      <c r="D223" s="377">
        <f t="shared" si="42"/>
        <v>100000</v>
      </c>
      <c r="E223" s="377">
        <v>0</v>
      </c>
      <c r="F223" s="393">
        <v>0</v>
      </c>
      <c r="G223" s="377">
        <f t="shared" si="40"/>
        <v>0</v>
      </c>
      <c r="H223" s="379">
        <f>D223+G223</f>
        <v>100000</v>
      </c>
    </row>
    <row r="224" spans="1:8" x14ac:dyDescent="0.2">
      <c r="A224" s="921"/>
      <c r="B224" s="264">
        <v>53204100100001</v>
      </c>
      <c r="C224" s="281" t="s">
        <v>22</v>
      </c>
      <c r="D224" s="377">
        <f t="shared" si="42"/>
        <v>566177.20000000007</v>
      </c>
      <c r="E224" s="377">
        <v>0</v>
      </c>
      <c r="F224" s="393">
        <v>0</v>
      </c>
      <c r="G224" s="377">
        <f t="shared" si="40"/>
        <v>0</v>
      </c>
      <c r="H224" s="379">
        <f t="shared" ref="H224:H236" si="43">D224+G224</f>
        <v>566177.20000000007</v>
      </c>
    </row>
    <row r="225" spans="1:8" x14ac:dyDescent="0.2">
      <c r="A225" s="921"/>
      <c r="B225" s="264">
        <v>53204130100000</v>
      </c>
      <c r="C225" s="281" t="s">
        <v>180</v>
      </c>
      <c r="D225" s="377">
        <f t="shared" si="42"/>
        <v>0</v>
      </c>
      <c r="E225" s="377">
        <v>0</v>
      </c>
      <c r="F225" s="393">
        <v>0</v>
      </c>
      <c r="G225" s="377">
        <f t="shared" si="40"/>
        <v>0</v>
      </c>
      <c r="H225" s="379">
        <f t="shared" si="43"/>
        <v>0</v>
      </c>
    </row>
    <row r="226" spans="1:8" x14ac:dyDescent="0.2">
      <c r="A226" s="921"/>
      <c r="B226" s="264">
        <v>53205010100000</v>
      </c>
      <c r="C226" s="281" t="s">
        <v>24</v>
      </c>
      <c r="D226" s="377">
        <f t="shared" si="42"/>
        <v>1304544.1200000003</v>
      </c>
      <c r="E226" s="377">
        <v>0</v>
      </c>
      <c r="F226" s="393">
        <v>0</v>
      </c>
      <c r="G226" s="377">
        <f t="shared" si="40"/>
        <v>0</v>
      </c>
      <c r="H226" s="379">
        <f t="shared" si="43"/>
        <v>1304544.1200000003</v>
      </c>
    </row>
    <row r="227" spans="1:8" x14ac:dyDescent="0.2">
      <c r="A227" s="921"/>
      <c r="B227" s="264">
        <v>53205020100000</v>
      </c>
      <c r="C227" s="281" t="s">
        <v>25</v>
      </c>
      <c r="D227" s="377">
        <f t="shared" si="42"/>
        <v>184970.016</v>
      </c>
      <c r="E227" s="377">
        <v>0</v>
      </c>
      <c r="F227" s="393">
        <v>0</v>
      </c>
      <c r="G227" s="377">
        <f t="shared" si="40"/>
        <v>0</v>
      </c>
      <c r="H227" s="379">
        <f t="shared" si="43"/>
        <v>184970.016</v>
      </c>
    </row>
    <row r="228" spans="1:8" x14ac:dyDescent="0.2">
      <c r="A228" s="921"/>
      <c r="B228" s="264">
        <v>53205030100000</v>
      </c>
      <c r="C228" s="281" t="s">
        <v>26</v>
      </c>
      <c r="D228" s="377">
        <f t="shared" si="42"/>
        <v>1171263.2541666667</v>
      </c>
      <c r="E228" s="377">
        <v>0</v>
      </c>
      <c r="F228" s="393">
        <v>0</v>
      </c>
      <c r="G228" s="377">
        <f t="shared" si="40"/>
        <v>0</v>
      </c>
      <c r="H228" s="379">
        <f t="shared" si="43"/>
        <v>1171263.2541666667</v>
      </c>
    </row>
    <row r="229" spans="1:8" x14ac:dyDescent="0.2">
      <c r="A229" s="921"/>
      <c r="B229" s="264">
        <v>53205050100000</v>
      </c>
      <c r="C229" s="281" t="s">
        <v>27</v>
      </c>
      <c r="D229" s="377">
        <f t="shared" si="42"/>
        <v>0</v>
      </c>
      <c r="E229" s="377">
        <v>0</v>
      </c>
      <c r="F229" s="393">
        <v>0</v>
      </c>
      <c r="G229" s="377">
        <f t="shared" si="40"/>
        <v>0</v>
      </c>
      <c r="H229" s="379">
        <f t="shared" si="43"/>
        <v>0</v>
      </c>
    </row>
    <row r="230" spans="1:8" x14ac:dyDescent="0.2">
      <c r="A230" s="921"/>
      <c r="B230" s="264">
        <v>53205070100000</v>
      </c>
      <c r="C230" s="281" t="s">
        <v>29</v>
      </c>
      <c r="D230" s="377">
        <f t="shared" si="42"/>
        <v>64331.8</v>
      </c>
      <c r="E230" s="377">
        <v>0</v>
      </c>
      <c r="F230" s="393">
        <v>0</v>
      </c>
      <c r="G230" s="377">
        <f t="shared" si="40"/>
        <v>0</v>
      </c>
      <c r="H230" s="379">
        <f t="shared" si="43"/>
        <v>64331.8</v>
      </c>
    </row>
    <row r="231" spans="1:8" x14ac:dyDescent="0.2">
      <c r="A231" s="921"/>
      <c r="B231" s="264">
        <v>53208010100000</v>
      </c>
      <c r="C231" s="281" t="s">
        <v>30</v>
      </c>
      <c r="D231" s="377">
        <f t="shared" si="42"/>
        <v>252062.40000000002</v>
      </c>
      <c r="E231" s="377">
        <v>0</v>
      </c>
      <c r="F231" s="393">
        <v>0</v>
      </c>
      <c r="G231" s="377">
        <f t="shared" si="40"/>
        <v>0</v>
      </c>
      <c r="H231" s="379">
        <f t="shared" si="43"/>
        <v>252062.40000000002</v>
      </c>
    </row>
    <row r="232" spans="1:8" x14ac:dyDescent="0.2">
      <c r="A232" s="921"/>
      <c r="B232" s="264">
        <v>53208070100001</v>
      </c>
      <c r="C232" s="281" t="s">
        <v>31</v>
      </c>
      <c r="D232" s="377">
        <f t="shared" si="42"/>
        <v>1328489.4000000001</v>
      </c>
      <c r="E232" s="377">
        <v>0</v>
      </c>
      <c r="F232" s="393">
        <v>0</v>
      </c>
      <c r="G232" s="377">
        <f t="shared" si="40"/>
        <v>0</v>
      </c>
      <c r="H232" s="379">
        <f t="shared" si="43"/>
        <v>1328489.4000000001</v>
      </c>
    </row>
    <row r="233" spans="1:8" x14ac:dyDescent="0.2">
      <c r="A233" s="921"/>
      <c r="B233" s="264">
        <v>53208100100001</v>
      </c>
      <c r="C233" s="281" t="s">
        <v>181</v>
      </c>
      <c r="D233" s="377">
        <f t="shared" si="42"/>
        <v>0</v>
      </c>
      <c r="E233" s="377">
        <v>0</v>
      </c>
      <c r="F233" s="393">
        <v>0</v>
      </c>
      <c r="G233" s="377">
        <f t="shared" si="40"/>
        <v>0</v>
      </c>
      <c r="H233" s="379">
        <f t="shared" si="43"/>
        <v>0</v>
      </c>
    </row>
    <row r="234" spans="1:8" x14ac:dyDescent="0.2">
      <c r="A234" s="921"/>
      <c r="B234" s="264">
        <v>53211030000000</v>
      </c>
      <c r="C234" s="281" t="s">
        <v>32</v>
      </c>
      <c r="D234" s="377">
        <f t="shared" si="42"/>
        <v>0</v>
      </c>
      <c r="E234" s="377">
        <v>0</v>
      </c>
      <c r="F234" s="393">
        <v>0</v>
      </c>
      <c r="G234" s="377">
        <f t="shared" si="40"/>
        <v>0</v>
      </c>
      <c r="H234" s="379">
        <f t="shared" si="43"/>
        <v>0</v>
      </c>
    </row>
    <row r="235" spans="1:8" x14ac:dyDescent="0.2">
      <c r="A235" s="921"/>
      <c r="B235" s="264">
        <v>53212020100000</v>
      </c>
      <c r="C235" s="281" t="s">
        <v>182</v>
      </c>
      <c r="D235" s="377">
        <f t="shared" si="42"/>
        <v>126044.8</v>
      </c>
      <c r="E235" s="377">
        <v>0</v>
      </c>
      <c r="F235" s="393">
        <v>0</v>
      </c>
      <c r="G235" s="377">
        <f t="shared" si="40"/>
        <v>0</v>
      </c>
      <c r="H235" s="379">
        <f t="shared" si="43"/>
        <v>126044.8</v>
      </c>
    </row>
    <row r="236" spans="1:8" x14ac:dyDescent="0.2">
      <c r="A236" s="921"/>
      <c r="B236" s="264">
        <v>53214020000000</v>
      </c>
      <c r="C236" s="281" t="s">
        <v>183</v>
      </c>
      <c r="D236" s="377">
        <f t="shared" si="42"/>
        <v>0</v>
      </c>
      <c r="E236" s="377">
        <v>0</v>
      </c>
      <c r="F236" s="393">
        <v>0</v>
      </c>
      <c r="G236" s="377">
        <f t="shared" si="40"/>
        <v>0</v>
      </c>
      <c r="H236" s="379">
        <f t="shared" si="43"/>
        <v>0</v>
      </c>
    </row>
    <row r="237" spans="1:8" x14ac:dyDescent="0.2">
      <c r="A237" s="921"/>
      <c r="B237" s="384"/>
      <c r="C237" s="385" t="s">
        <v>34</v>
      </c>
      <c r="D237" s="398">
        <f>SUM(D238,D243,D245,D254,D263,D271)</f>
        <v>6236258.8000000007</v>
      </c>
      <c r="E237" s="386"/>
      <c r="F237" s="386"/>
      <c r="G237" s="398">
        <f>SUM(G238,G243,G245,G254,G263,G271)</f>
        <v>400000</v>
      </c>
      <c r="H237" s="319">
        <f>SUM(H238,H243,H245,H254,H263,H271)</f>
        <v>6636258.8000000007</v>
      </c>
    </row>
    <row r="238" spans="1:8" x14ac:dyDescent="0.2">
      <c r="A238" s="921"/>
      <c r="B238" s="263"/>
      <c r="C238" s="372" t="s">
        <v>35</v>
      </c>
      <c r="D238" s="373">
        <f>SUM(D239:D242)</f>
        <v>150000</v>
      </c>
      <c r="E238" s="374"/>
      <c r="F238" s="374"/>
      <c r="G238" s="373">
        <f>SUM(G239:G242)</f>
        <v>400000</v>
      </c>
      <c r="H238" s="387">
        <f>SUM(H239:H242)</f>
        <v>550000</v>
      </c>
    </row>
    <row r="239" spans="1:8" x14ac:dyDescent="0.2">
      <c r="A239" s="921"/>
      <c r="B239" s="264">
        <v>53202020100000</v>
      </c>
      <c r="C239" s="281" t="s">
        <v>184</v>
      </c>
      <c r="D239" s="380">
        <v>0</v>
      </c>
      <c r="E239" s="381">
        <v>50000</v>
      </c>
      <c r="F239" s="350">
        <v>8</v>
      </c>
      <c r="G239" s="377">
        <f>E239*F239</f>
        <v>400000</v>
      </c>
      <c r="H239" s="379">
        <f>D239+G239</f>
        <v>400000</v>
      </c>
    </row>
    <row r="240" spans="1:8" x14ac:dyDescent="0.2">
      <c r="A240" s="921"/>
      <c r="B240" s="264">
        <v>53202030000000</v>
      </c>
      <c r="C240" s="281" t="s">
        <v>185</v>
      </c>
      <c r="D240" s="380">
        <v>0</v>
      </c>
      <c r="E240" s="381">
        <v>0</v>
      </c>
      <c r="F240" s="350">
        <v>0</v>
      </c>
      <c r="G240" s="377">
        <f>E240*F240</f>
        <v>0</v>
      </c>
      <c r="H240" s="379">
        <f>D240+G240</f>
        <v>0</v>
      </c>
    </row>
    <row r="241" spans="1:8" x14ac:dyDescent="0.2">
      <c r="A241" s="921"/>
      <c r="B241" s="264">
        <v>53211020000000</v>
      </c>
      <c r="C241" s="281" t="s">
        <v>41</v>
      </c>
      <c r="D241" s="389">
        <f>+O101</f>
        <v>0</v>
      </c>
      <c r="E241" s="389">
        <v>0</v>
      </c>
      <c r="F241" s="390">
        <v>0</v>
      </c>
      <c r="G241" s="377">
        <f>E241*F241</f>
        <v>0</v>
      </c>
      <c r="H241" s="379">
        <f>D241+G241</f>
        <v>0</v>
      </c>
    </row>
    <row r="242" spans="1:8" x14ac:dyDescent="0.2">
      <c r="A242" s="921"/>
      <c r="B242" s="264">
        <v>53101040600000</v>
      </c>
      <c r="C242" s="281" t="s">
        <v>186</v>
      </c>
      <c r="D242" s="389">
        <f>+O102</f>
        <v>150000</v>
      </c>
      <c r="E242" s="389">
        <v>0</v>
      </c>
      <c r="F242" s="390">
        <v>0</v>
      </c>
      <c r="G242" s="377">
        <f>E242*F242</f>
        <v>0</v>
      </c>
      <c r="H242" s="379">
        <f>D242+G242</f>
        <v>150000</v>
      </c>
    </row>
    <row r="243" spans="1:8" x14ac:dyDescent="0.2">
      <c r="A243" s="921"/>
      <c r="B243" s="263"/>
      <c r="C243" s="372" t="s">
        <v>42</v>
      </c>
      <c r="D243" s="373">
        <f>SUM(D244)</f>
        <v>0</v>
      </c>
      <c r="E243" s="374"/>
      <c r="F243" s="374"/>
      <c r="G243" s="391">
        <f>SUM(G244:G244)</f>
        <v>0</v>
      </c>
      <c r="H243" s="387">
        <f>SUM(H244:H244)</f>
        <v>0</v>
      </c>
    </row>
    <row r="244" spans="1:8" x14ac:dyDescent="0.2">
      <c r="A244" s="921"/>
      <c r="B244" s="267">
        <v>53205990000000</v>
      </c>
      <c r="C244" s="281" t="s">
        <v>44</v>
      </c>
      <c r="D244" s="389">
        <f>+O104</f>
        <v>0</v>
      </c>
      <c r="E244" s="389">
        <v>0</v>
      </c>
      <c r="F244" s="390">
        <v>0</v>
      </c>
      <c r="G244" s="377">
        <f>E244*F244</f>
        <v>0</v>
      </c>
      <c r="H244" s="379">
        <f>D244+G244</f>
        <v>0</v>
      </c>
    </row>
    <row r="245" spans="1:8" x14ac:dyDescent="0.2">
      <c r="A245" s="921"/>
      <c r="B245" s="263"/>
      <c r="C245" s="372" t="s">
        <v>45</v>
      </c>
      <c r="D245" s="373">
        <f>SUM(D246:D253)</f>
        <v>2818863.6</v>
      </c>
      <c r="E245" s="374"/>
      <c r="F245" s="374"/>
      <c r="G245" s="373">
        <f>SUM(G246:G253)</f>
        <v>0</v>
      </c>
      <c r="H245" s="387">
        <f>SUM(H246:H253)</f>
        <v>2818863.6</v>
      </c>
    </row>
    <row r="246" spans="1:8" x14ac:dyDescent="0.2">
      <c r="A246" s="921"/>
      <c r="B246" s="264">
        <v>53204010000000</v>
      </c>
      <c r="C246" s="281" t="s">
        <v>47</v>
      </c>
      <c r="D246" s="389">
        <f>+O106</f>
        <v>151939.80000000002</v>
      </c>
      <c r="E246" s="389">
        <v>0</v>
      </c>
      <c r="F246" s="390">
        <v>0</v>
      </c>
      <c r="G246" s="389">
        <f t="shared" ref="G246:G253" si="44">E246*F246</f>
        <v>0</v>
      </c>
      <c r="H246" s="379">
        <f t="shared" ref="H246:H253" si="45">D246+G246</f>
        <v>151939.80000000002</v>
      </c>
    </row>
    <row r="247" spans="1:8" x14ac:dyDescent="0.2">
      <c r="A247" s="921"/>
      <c r="B247" s="267">
        <v>53204040200000</v>
      </c>
      <c r="C247" s="281" t="s">
        <v>221</v>
      </c>
      <c r="D247" s="389">
        <f t="shared" ref="D247:D253" si="46">+O107</f>
        <v>200000</v>
      </c>
      <c r="E247" s="389">
        <v>0</v>
      </c>
      <c r="F247" s="390">
        <v>0</v>
      </c>
      <c r="G247" s="389">
        <f t="shared" si="44"/>
        <v>0</v>
      </c>
      <c r="H247" s="379">
        <f t="shared" si="45"/>
        <v>200000</v>
      </c>
    </row>
    <row r="248" spans="1:8" x14ac:dyDescent="0.2">
      <c r="A248" s="921"/>
      <c r="B248" s="264">
        <v>53204060000000</v>
      </c>
      <c r="C248" s="281" t="s">
        <v>49</v>
      </c>
      <c r="D248" s="389">
        <f t="shared" si="46"/>
        <v>0</v>
      </c>
      <c r="E248" s="389">
        <v>0</v>
      </c>
      <c r="F248" s="390">
        <v>0</v>
      </c>
      <c r="G248" s="389">
        <f t="shared" si="44"/>
        <v>0</v>
      </c>
      <c r="H248" s="379">
        <f t="shared" si="45"/>
        <v>0</v>
      </c>
    </row>
    <row r="249" spans="1:8" x14ac:dyDescent="0.2">
      <c r="A249" s="921"/>
      <c r="B249" s="264">
        <v>53204070000000</v>
      </c>
      <c r="C249" s="281" t="s">
        <v>50</v>
      </c>
      <c r="D249" s="389">
        <f t="shared" si="46"/>
        <v>566923.80000000005</v>
      </c>
      <c r="E249" s="389">
        <v>0</v>
      </c>
      <c r="F249" s="390">
        <v>0</v>
      </c>
      <c r="G249" s="389">
        <f t="shared" si="44"/>
        <v>0</v>
      </c>
      <c r="H249" s="379">
        <f t="shared" si="45"/>
        <v>566923.80000000005</v>
      </c>
    </row>
    <row r="250" spans="1:8" x14ac:dyDescent="0.2">
      <c r="A250" s="921"/>
      <c r="B250" s="264">
        <v>53204080000000</v>
      </c>
      <c r="C250" s="281" t="s">
        <v>51</v>
      </c>
      <c r="D250" s="389">
        <f t="shared" si="46"/>
        <v>400000</v>
      </c>
      <c r="E250" s="389">
        <v>0</v>
      </c>
      <c r="F250" s="390">
        <v>0</v>
      </c>
      <c r="G250" s="389">
        <f t="shared" si="44"/>
        <v>0</v>
      </c>
      <c r="H250" s="379">
        <f t="shared" si="45"/>
        <v>400000</v>
      </c>
    </row>
    <row r="251" spans="1:8" x14ac:dyDescent="0.2">
      <c r="A251" s="921"/>
      <c r="B251" s="264">
        <v>53214010000000</v>
      </c>
      <c r="C251" s="281" t="s">
        <v>52</v>
      </c>
      <c r="D251" s="389">
        <f t="shared" si="46"/>
        <v>600000</v>
      </c>
      <c r="E251" s="392">
        <v>0</v>
      </c>
      <c r="F251" s="390">
        <v>0</v>
      </c>
      <c r="G251" s="389">
        <f t="shared" si="44"/>
        <v>0</v>
      </c>
      <c r="H251" s="379">
        <f t="shared" si="45"/>
        <v>600000</v>
      </c>
    </row>
    <row r="252" spans="1:8" x14ac:dyDescent="0.2">
      <c r="A252" s="921"/>
      <c r="B252" s="264">
        <v>53214040000000</v>
      </c>
      <c r="C252" s="281" t="s">
        <v>187</v>
      </c>
      <c r="D252" s="389">
        <f t="shared" si="46"/>
        <v>300000</v>
      </c>
      <c r="E252" s="392">
        <v>0</v>
      </c>
      <c r="F252" s="390">
        <v>0</v>
      </c>
      <c r="G252" s="389">
        <f t="shared" si="44"/>
        <v>0</v>
      </c>
      <c r="H252" s="379">
        <f t="shared" si="45"/>
        <v>300000</v>
      </c>
    </row>
    <row r="253" spans="1:8" x14ac:dyDescent="0.2">
      <c r="A253" s="921"/>
      <c r="B253" s="265">
        <v>53204020100000</v>
      </c>
      <c r="C253" s="281" t="s">
        <v>179</v>
      </c>
      <c r="D253" s="389">
        <f t="shared" si="46"/>
        <v>600000</v>
      </c>
      <c r="E253" s="389">
        <v>0</v>
      </c>
      <c r="F253" s="390">
        <v>0</v>
      </c>
      <c r="G253" s="389">
        <f t="shared" si="44"/>
        <v>0</v>
      </c>
      <c r="H253" s="379">
        <f t="shared" si="45"/>
        <v>600000</v>
      </c>
    </row>
    <row r="254" spans="1:8" x14ac:dyDescent="0.2">
      <c r="A254" s="921"/>
      <c r="B254" s="263"/>
      <c r="C254" s="372" t="s">
        <v>55</v>
      </c>
      <c r="D254" s="373">
        <f>SUM(D255:D262)</f>
        <v>1402267.8</v>
      </c>
      <c r="E254" s="374"/>
      <c r="F254" s="374"/>
      <c r="G254" s="373">
        <f>SUM(G255:G262)</f>
        <v>0</v>
      </c>
      <c r="H254" s="314">
        <f>SUM(H255:H262)</f>
        <v>1402267.8</v>
      </c>
    </row>
    <row r="255" spans="1:8" x14ac:dyDescent="0.2">
      <c r="A255" s="921"/>
      <c r="B255" s="264">
        <v>53207010000000</v>
      </c>
      <c r="C255" s="281" t="s">
        <v>56</v>
      </c>
      <c r="D255" s="389">
        <f>+O115</f>
        <v>0</v>
      </c>
      <c r="E255" s="389">
        <v>0</v>
      </c>
      <c r="F255" s="390">
        <v>0</v>
      </c>
      <c r="G255" s="389">
        <f t="shared" ref="G255:G262" si="47">E255*F255</f>
        <v>0</v>
      </c>
      <c r="H255" s="379">
        <f t="shared" ref="H255:H262" si="48">D255+G255</f>
        <v>0</v>
      </c>
    </row>
    <row r="256" spans="1:8" x14ac:dyDescent="0.2">
      <c r="A256" s="921"/>
      <c r="B256" s="264">
        <v>53207020000000</v>
      </c>
      <c r="C256" s="281" t="s">
        <v>57</v>
      </c>
      <c r="D256" s="389">
        <f>+O116</f>
        <v>0</v>
      </c>
      <c r="E256" s="389">
        <v>0</v>
      </c>
      <c r="F256" s="390">
        <v>0</v>
      </c>
      <c r="G256" s="389">
        <f t="shared" si="47"/>
        <v>0</v>
      </c>
      <c r="H256" s="379">
        <f t="shared" si="48"/>
        <v>0</v>
      </c>
    </row>
    <row r="257" spans="1:10" x14ac:dyDescent="0.2">
      <c r="A257" s="921"/>
      <c r="B257" s="264">
        <v>53208020000000</v>
      </c>
      <c r="C257" s="281" t="s">
        <v>170</v>
      </c>
      <c r="D257" s="389">
        <f>+O117</f>
        <v>0</v>
      </c>
      <c r="E257" s="389">
        <v>0</v>
      </c>
      <c r="F257" s="390">
        <v>0</v>
      </c>
      <c r="G257" s="389">
        <f t="shared" si="47"/>
        <v>0</v>
      </c>
      <c r="H257" s="379">
        <f t="shared" si="48"/>
        <v>0</v>
      </c>
    </row>
    <row r="258" spans="1:10" x14ac:dyDescent="0.2">
      <c r="A258" s="921"/>
      <c r="B258" s="264">
        <v>53208990000000</v>
      </c>
      <c r="C258" s="281" t="s">
        <v>188</v>
      </c>
      <c r="D258" s="389">
        <f>+O118</f>
        <v>242267.80000000002</v>
      </c>
      <c r="E258" s="389">
        <v>0</v>
      </c>
      <c r="F258" s="390">
        <v>0</v>
      </c>
      <c r="G258" s="389">
        <f t="shared" si="47"/>
        <v>0</v>
      </c>
      <c r="H258" s="379">
        <f t="shared" si="48"/>
        <v>242267.80000000002</v>
      </c>
    </row>
    <row r="259" spans="1:10" x14ac:dyDescent="0.2">
      <c r="A259" s="921"/>
      <c r="B259" s="265">
        <v>53210020300000</v>
      </c>
      <c r="C259" s="281" t="s">
        <v>190</v>
      </c>
      <c r="D259" s="534">
        <v>0</v>
      </c>
      <c r="E259" s="534">
        <v>0</v>
      </c>
      <c r="F259" s="393">
        <v>0</v>
      </c>
      <c r="G259" s="377">
        <f t="shared" si="47"/>
        <v>0</v>
      </c>
      <c r="H259" s="379">
        <f t="shared" si="48"/>
        <v>0</v>
      </c>
    </row>
    <row r="260" spans="1:10" x14ac:dyDescent="0.2">
      <c r="A260" s="921"/>
      <c r="B260" s="264">
        <v>53208990000000</v>
      </c>
      <c r="C260" s="281" t="s">
        <v>191</v>
      </c>
      <c r="D260" s="377">
        <f>+O119</f>
        <v>0</v>
      </c>
      <c r="E260" s="377">
        <v>0</v>
      </c>
      <c r="F260" s="393">
        <v>0</v>
      </c>
      <c r="G260" s="377">
        <f t="shared" si="47"/>
        <v>0</v>
      </c>
      <c r="H260" s="379">
        <f t="shared" si="48"/>
        <v>0</v>
      </c>
    </row>
    <row r="261" spans="1:10" x14ac:dyDescent="0.2">
      <c r="A261" s="921"/>
      <c r="B261" s="264">
        <v>53209990000000</v>
      </c>
      <c r="C261" s="281" t="s">
        <v>189</v>
      </c>
      <c r="D261" s="377">
        <f>+O120</f>
        <v>1160000</v>
      </c>
      <c r="E261" s="377">
        <v>0</v>
      </c>
      <c r="F261" s="393">
        <v>0</v>
      </c>
      <c r="G261" s="377">
        <f t="shared" si="47"/>
        <v>0</v>
      </c>
      <c r="H261" s="379">
        <f t="shared" si="48"/>
        <v>1160000</v>
      </c>
    </row>
    <row r="262" spans="1:10" x14ac:dyDescent="0.2">
      <c r="A262" s="921"/>
      <c r="B262" s="264">
        <v>53210020100000</v>
      </c>
      <c r="C262" s="281" t="s">
        <v>64</v>
      </c>
      <c r="D262" s="377">
        <f>+O121</f>
        <v>0</v>
      </c>
      <c r="E262" s="377">
        <v>0</v>
      </c>
      <c r="F262" s="393">
        <v>0</v>
      </c>
      <c r="G262" s="377">
        <f t="shared" si="47"/>
        <v>0</v>
      </c>
      <c r="H262" s="379">
        <f t="shared" si="48"/>
        <v>0</v>
      </c>
    </row>
    <row r="263" spans="1:10" x14ac:dyDescent="0.2">
      <c r="A263" s="921"/>
      <c r="B263" s="263"/>
      <c r="C263" s="372" t="s">
        <v>65</v>
      </c>
      <c r="D263" s="373">
        <f>SUM(D264:D270)</f>
        <v>1865127.4000000001</v>
      </c>
      <c r="E263" s="374"/>
      <c r="F263" s="374"/>
      <c r="G263" s="373">
        <f>SUM(G264:G270)</f>
        <v>0</v>
      </c>
      <c r="H263" s="314">
        <f>SUM(H264:H270)</f>
        <v>1865127.4000000001</v>
      </c>
    </row>
    <row r="264" spans="1:10" x14ac:dyDescent="0.2">
      <c r="A264" s="921"/>
      <c r="B264" s="264">
        <v>53206030000000</v>
      </c>
      <c r="C264" s="281" t="s">
        <v>99</v>
      </c>
      <c r="D264" s="389">
        <f>+O123</f>
        <v>0</v>
      </c>
      <c r="E264" s="389">
        <v>0</v>
      </c>
      <c r="F264" s="390">
        <v>0</v>
      </c>
      <c r="G264" s="377">
        <f t="shared" ref="G264:G270" si="49">E264*F264</f>
        <v>0</v>
      </c>
      <c r="H264" s="379">
        <f t="shared" ref="H264:H270" si="50">D264+G264</f>
        <v>0</v>
      </c>
    </row>
    <row r="265" spans="1:10" x14ac:dyDescent="0.2">
      <c r="A265" s="921"/>
      <c r="B265" s="264">
        <v>53206040000000</v>
      </c>
      <c r="C265" s="281" t="s">
        <v>100</v>
      </c>
      <c r="D265" s="389">
        <f t="shared" ref="D265:D270" si="51">+O124</f>
        <v>0</v>
      </c>
      <c r="E265" s="389">
        <v>0</v>
      </c>
      <c r="F265" s="390">
        <v>0</v>
      </c>
      <c r="G265" s="377">
        <f t="shared" si="49"/>
        <v>0</v>
      </c>
      <c r="H265" s="379">
        <f t="shared" si="50"/>
        <v>0</v>
      </c>
    </row>
    <row r="266" spans="1:10" x14ac:dyDescent="0.2">
      <c r="A266" s="921"/>
      <c r="B266" s="264">
        <v>53206060000000</v>
      </c>
      <c r="C266" s="281" t="s">
        <v>192</v>
      </c>
      <c r="D266" s="389">
        <f t="shared" si="51"/>
        <v>500000</v>
      </c>
      <c r="E266" s="389">
        <v>0</v>
      </c>
      <c r="F266" s="390">
        <v>0</v>
      </c>
      <c r="G266" s="377">
        <f t="shared" si="49"/>
        <v>0</v>
      </c>
      <c r="H266" s="379">
        <f t="shared" si="50"/>
        <v>500000</v>
      </c>
    </row>
    <row r="267" spans="1:10" x14ac:dyDescent="0.2">
      <c r="A267" s="921"/>
      <c r="B267" s="264">
        <v>53206070000000</v>
      </c>
      <c r="C267" s="281" t="s">
        <v>102</v>
      </c>
      <c r="D267" s="389">
        <f t="shared" si="51"/>
        <v>0</v>
      </c>
      <c r="E267" s="389">
        <v>0</v>
      </c>
      <c r="F267" s="390">
        <v>0</v>
      </c>
      <c r="G267" s="377">
        <f t="shared" si="49"/>
        <v>0</v>
      </c>
      <c r="H267" s="379">
        <f t="shared" si="50"/>
        <v>0</v>
      </c>
    </row>
    <row r="268" spans="1:10" x14ac:dyDescent="0.2">
      <c r="A268" s="921"/>
      <c r="B268" s="264">
        <v>53206990000000</v>
      </c>
      <c r="C268" s="281" t="s">
        <v>193</v>
      </c>
      <c r="D268" s="389">
        <f t="shared" si="51"/>
        <v>0</v>
      </c>
      <c r="E268" s="389">
        <v>0</v>
      </c>
      <c r="F268" s="390">
        <v>0</v>
      </c>
      <c r="G268" s="377">
        <f t="shared" si="49"/>
        <v>0</v>
      </c>
      <c r="H268" s="379">
        <f t="shared" si="50"/>
        <v>0</v>
      </c>
    </row>
    <row r="269" spans="1:10" x14ac:dyDescent="0.2">
      <c r="A269" s="921"/>
      <c r="B269" s="264">
        <v>53208030000000</v>
      </c>
      <c r="C269" s="281" t="s">
        <v>104</v>
      </c>
      <c r="D269" s="389">
        <f t="shared" si="51"/>
        <v>125400</v>
      </c>
      <c r="E269" s="389">
        <v>0</v>
      </c>
      <c r="F269" s="390">
        <v>0</v>
      </c>
      <c r="G269" s="377">
        <f t="shared" si="49"/>
        <v>0</v>
      </c>
      <c r="H269" s="379">
        <f t="shared" si="50"/>
        <v>125400</v>
      </c>
    </row>
    <row r="270" spans="1:10" x14ac:dyDescent="0.2">
      <c r="A270" s="921"/>
      <c r="B270" s="264">
        <v>53206990000000</v>
      </c>
      <c r="C270" s="281" t="s">
        <v>222</v>
      </c>
      <c r="D270" s="389">
        <f t="shared" si="51"/>
        <v>1239727.4000000001</v>
      </c>
      <c r="E270" s="389">
        <v>0</v>
      </c>
      <c r="F270" s="390">
        <v>0</v>
      </c>
      <c r="G270" s="377">
        <f t="shared" si="49"/>
        <v>0</v>
      </c>
      <c r="H270" s="379">
        <f t="shared" si="50"/>
        <v>1239727.4000000001</v>
      </c>
    </row>
    <row r="271" spans="1:10" x14ac:dyDescent="0.2">
      <c r="A271" s="921"/>
      <c r="B271" s="263"/>
      <c r="C271" s="372" t="s">
        <v>66</v>
      </c>
      <c r="D271" s="373">
        <f>SUM(D272:D272)</f>
        <v>0</v>
      </c>
      <c r="E271" s="374"/>
      <c r="F271" s="374"/>
      <c r="G271" s="373">
        <f>SUM(G272:G272)</f>
        <v>0</v>
      </c>
      <c r="H271" s="314">
        <f>SUM(H272:H272)</f>
        <v>0</v>
      </c>
    </row>
    <row r="272" spans="1:10" x14ac:dyDescent="0.2">
      <c r="A272" s="921"/>
      <c r="B272" s="268"/>
      <c r="C272" s="306" t="s">
        <v>223</v>
      </c>
      <c r="D272" s="380">
        <v>0</v>
      </c>
      <c r="E272" s="380">
        <v>0</v>
      </c>
      <c r="F272" s="388">
        <v>0</v>
      </c>
      <c r="G272" s="377">
        <f>E272*F272</f>
        <v>0</v>
      </c>
      <c r="H272" s="394">
        <f>D272+G272</f>
        <v>0</v>
      </c>
      <c r="I272" s="399" t="s">
        <v>226</v>
      </c>
      <c r="J272" s="449">
        <f>+H270+H269+H268+H267+H266+H265+H264+H262+H261+H260+H259+H258+H257+H256+H255+H253+H250+H249+H248+H247+H246+H244+H242+H241+H235+H234+H233+H231+H230+H229+H228+H227+H226+H225+H224+H223+H222+H221</f>
        <v>9383761.9922142848</v>
      </c>
    </row>
    <row r="273" spans="1:10" ht="13.5" thickBot="1" x14ac:dyDescent="0.25">
      <c r="A273" s="922"/>
      <c r="B273" s="395"/>
      <c r="C273" s="396" t="s">
        <v>105</v>
      </c>
      <c r="D273" s="328">
        <f>SUM(D210,D237)</f>
        <v>68566241.319714278</v>
      </c>
      <c r="E273" s="329"/>
      <c r="F273" s="329"/>
      <c r="G273" s="328">
        <f>SUM(G210,G237)</f>
        <v>4882360</v>
      </c>
      <c r="H273" s="397">
        <f>SUM(H210,H237)</f>
        <v>73448601.319714278</v>
      </c>
      <c r="I273" s="400" t="s">
        <v>227</v>
      </c>
      <c r="J273" s="448">
        <f>+H273-J272</f>
        <v>64064839.327499993</v>
      </c>
    </row>
    <row r="274" spans="1:10" ht="15.75" x14ac:dyDescent="0.2">
      <c r="A274" s="918" t="s">
        <v>109</v>
      </c>
      <c r="B274" s="918"/>
      <c r="C274" s="918"/>
      <c r="D274" s="918"/>
      <c r="E274" s="918"/>
      <c r="F274" s="918"/>
      <c r="G274" s="919"/>
      <c r="H274" s="401">
        <f>SUM(H273+H141+H75+H207)</f>
        <v>293240953.18247664</v>
      </c>
    </row>
  </sheetData>
  <sheetProtection sheet="1" objects="1" scenarios="1"/>
  <mergeCells count="43">
    <mergeCell ref="D142:D143"/>
    <mergeCell ref="E142:G142"/>
    <mergeCell ref="H142:H143"/>
    <mergeCell ref="C208:C209"/>
    <mergeCell ref="D208:D209"/>
    <mergeCell ref="E208:G208"/>
    <mergeCell ref="C142:C143"/>
    <mergeCell ref="M99:P99"/>
    <mergeCell ref="M100:P100"/>
    <mergeCell ref="M103:P103"/>
    <mergeCell ref="M105:P105"/>
    <mergeCell ref="M114:P114"/>
    <mergeCell ref="M122:P122"/>
    <mergeCell ref="A210:A273"/>
    <mergeCell ref="A78:A141"/>
    <mergeCell ref="A142:A143"/>
    <mergeCell ref="B142:B143"/>
    <mergeCell ref="A208:A209"/>
    <mergeCell ref="B208:B209"/>
    <mergeCell ref="A144:A207"/>
    <mergeCell ref="D4:E4"/>
    <mergeCell ref="M78:M79"/>
    <mergeCell ref="A274:G274"/>
    <mergeCell ref="A8:C8"/>
    <mergeCell ref="A12:A75"/>
    <mergeCell ref="B10:B11"/>
    <mergeCell ref="A10:A11"/>
    <mergeCell ref="E10:G10"/>
    <mergeCell ref="D10:D11"/>
    <mergeCell ref="H208:H209"/>
    <mergeCell ref="O78:O79"/>
    <mergeCell ref="P78:P79"/>
    <mergeCell ref="L78:L79"/>
    <mergeCell ref="H10:H11"/>
    <mergeCell ref="H76:H77"/>
    <mergeCell ref="C10:C11"/>
    <mergeCell ref="I10:J11"/>
    <mergeCell ref="A76:A77"/>
    <mergeCell ref="B76:B77"/>
    <mergeCell ref="C76:C77"/>
    <mergeCell ref="D76:D77"/>
    <mergeCell ref="E76:G76"/>
    <mergeCell ref="N78:N7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00B0F0"/>
  </sheetPr>
  <dimension ref="A1:IH98"/>
  <sheetViews>
    <sheetView showGridLines="0" zoomScale="80" zoomScaleNormal="80" workbookViewId="0">
      <selection activeCell="G29" sqref="G29"/>
    </sheetView>
  </sheetViews>
  <sheetFormatPr baseColWidth="10" defaultRowHeight="12.75" x14ac:dyDescent="0.2"/>
  <cols>
    <col min="1" max="1" width="7.140625" style="23" customWidth="1"/>
    <col min="2" max="2" width="28" style="23" customWidth="1"/>
    <col min="3" max="3" width="28.7109375" style="23" customWidth="1"/>
    <col min="4" max="4" width="24.140625" style="23" customWidth="1"/>
    <col min="5" max="5" width="25.140625" style="23" customWidth="1"/>
    <col min="6" max="6" width="22.140625" style="23" customWidth="1"/>
    <col min="7" max="7" width="14.85546875" style="23" customWidth="1"/>
    <col min="8" max="8" width="15" style="23" customWidth="1"/>
    <col min="9" max="9" width="15.140625" style="23" customWidth="1"/>
    <col min="10" max="10" width="17.42578125" style="23" customWidth="1"/>
    <col min="11" max="11" width="19.140625" style="23" customWidth="1"/>
    <col min="12" max="12" width="4.85546875" style="23" customWidth="1"/>
    <col min="13" max="13" width="19.140625" style="23" customWidth="1"/>
    <col min="14" max="14" width="16.140625" style="23" customWidth="1"/>
    <col min="15" max="15" width="17.140625" style="23" customWidth="1"/>
    <col min="16" max="16" width="14.85546875" style="23" customWidth="1"/>
    <col min="17" max="17" width="17.7109375" style="23" customWidth="1"/>
    <col min="18" max="18" width="17.140625" style="23" customWidth="1"/>
    <col min="19" max="19" width="17.42578125" style="23" customWidth="1"/>
    <col min="20" max="20" width="5" style="23" customWidth="1"/>
    <col min="21" max="21" width="19.85546875" style="23" bestFit="1" customWidth="1"/>
    <col min="22" max="22" width="52.140625" style="23" bestFit="1" customWidth="1"/>
    <col min="23" max="23" width="18.28515625" style="23" customWidth="1"/>
    <col min="24" max="24" width="5.7109375" style="23" customWidth="1"/>
    <col min="25" max="25" width="11.42578125" style="23" customWidth="1"/>
    <col min="26" max="31" width="14.28515625" style="23" customWidth="1"/>
    <col min="32" max="32" width="11.28515625" style="23" customWidth="1"/>
    <col min="33" max="38" width="14.28515625" style="23" customWidth="1"/>
    <col min="39" max="39" width="11.42578125" style="23"/>
    <col min="40" max="45" width="14.28515625" style="23" customWidth="1"/>
    <col min="46" max="16384" width="11.42578125" style="23"/>
  </cols>
  <sheetData>
    <row r="1" spans="1:242" s="4" customFormat="1" x14ac:dyDescent="0.2">
      <c r="E1" s="33" t="s">
        <v>205</v>
      </c>
      <c r="F1" s="33"/>
      <c r="G1" s="33"/>
      <c r="H1" s="33"/>
      <c r="I1" s="33"/>
      <c r="IG1" s="2"/>
      <c r="IH1" s="2"/>
    </row>
    <row r="2" spans="1:242" s="4" customFormat="1" x14ac:dyDescent="0.2">
      <c r="E2" s="33" t="s">
        <v>197</v>
      </c>
      <c r="F2" s="33"/>
      <c r="G2" s="33"/>
      <c r="H2" s="33"/>
      <c r="I2" s="33"/>
      <c r="IG2" s="2"/>
      <c r="IH2" s="2"/>
    </row>
    <row r="3" spans="1:242" s="4" customFormat="1" x14ac:dyDescent="0.2">
      <c r="B3" s="19"/>
      <c r="HX3" s="2"/>
      <c r="HY3" s="2"/>
      <c r="HZ3" s="2"/>
      <c r="IA3" s="2"/>
      <c r="IB3" s="2"/>
      <c r="IC3" s="2"/>
    </row>
    <row r="4" spans="1:242" s="4" customFormat="1" ht="18.75" customHeight="1" x14ac:dyDescent="0.2">
      <c r="B4" s="19"/>
      <c r="D4" s="87" t="s">
        <v>0</v>
      </c>
      <c r="E4" s="131" t="str">
        <f>+'B) Reajuste Tarifas y Ocupación'!F5</f>
        <v>(DEPTO./DELEG.)</v>
      </c>
      <c r="F4" s="58"/>
      <c r="G4" s="59"/>
      <c r="H4" s="59"/>
      <c r="I4" s="59"/>
      <c r="J4" s="59"/>
      <c r="O4" s="1"/>
      <c r="HX4" s="2"/>
      <c r="HY4" s="2"/>
      <c r="HZ4" s="2"/>
      <c r="IA4" s="2"/>
      <c r="IB4" s="2"/>
      <c r="IC4" s="2"/>
    </row>
    <row r="5" spans="1:242" s="4" customFormat="1" x14ac:dyDescent="0.2">
      <c r="B5" s="19"/>
      <c r="D5" s="6"/>
      <c r="E5" s="33"/>
      <c r="F5" s="33"/>
      <c r="G5" s="33"/>
      <c r="H5" s="33"/>
      <c r="I5" s="33"/>
      <c r="J5" s="33"/>
      <c r="O5" s="1"/>
      <c r="HX5" s="2"/>
      <c r="HY5" s="2"/>
      <c r="HZ5" s="2"/>
      <c r="IA5" s="2"/>
      <c r="IB5" s="2"/>
      <c r="IC5" s="2"/>
    </row>
    <row r="6" spans="1:242" s="4" customFormat="1" ht="13.5" thickBot="1" x14ac:dyDescent="0.25">
      <c r="B6" s="19"/>
      <c r="D6" s="6"/>
      <c r="E6" s="33"/>
      <c r="F6" s="33"/>
      <c r="G6" s="33"/>
      <c r="H6" s="33"/>
      <c r="I6" s="33"/>
      <c r="J6" s="33"/>
      <c r="O6" s="1"/>
      <c r="HX6" s="2"/>
      <c r="HY6" s="2"/>
      <c r="HZ6" s="2"/>
      <c r="IA6" s="2"/>
      <c r="IB6" s="2"/>
      <c r="IC6" s="2"/>
    </row>
    <row r="7" spans="1:242" x14ac:dyDescent="0.2">
      <c r="B7" s="21"/>
      <c r="C7" s="21"/>
      <c r="D7" s="21"/>
      <c r="E7" s="21"/>
      <c r="F7" s="21"/>
      <c r="G7" s="21"/>
      <c r="H7" s="21"/>
      <c r="I7" s="21"/>
      <c r="J7" s="28"/>
      <c r="K7" s="28"/>
      <c r="L7" s="28"/>
      <c r="M7" s="28"/>
      <c r="N7" s="28"/>
      <c r="O7" s="28"/>
      <c r="P7" s="28"/>
      <c r="Q7" s="28"/>
      <c r="R7" s="28"/>
      <c r="Y7" s="155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7"/>
    </row>
    <row r="8" spans="1:242" x14ac:dyDescent="0.2">
      <c r="B8" s="21"/>
      <c r="C8" s="21"/>
      <c r="D8" s="21"/>
      <c r="E8" s="21"/>
      <c r="F8" s="21"/>
      <c r="G8" s="21"/>
      <c r="H8" s="21"/>
      <c r="I8" s="21"/>
      <c r="J8" s="28"/>
      <c r="K8" s="28"/>
      <c r="L8" s="28"/>
      <c r="M8" s="28"/>
      <c r="N8" s="28"/>
      <c r="O8" s="28"/>
      <c r="P8" s="28"/>
      <c r="Q8" s="28"/>
      <c r="R8" s="28"/>
      <c r="Y8" s="158"/>
      <c r="AT8" s="159"/>
    </row>
    <row r="9" spans="1:242" ht="15.75" customHeight="1" x14ac:dyDescent="0.2">
      <c r="A9" s="928" t="s">
        <v>153</v>
      </c>
      <c r="B9" s="928"/>
      <c r="C9" s="928"/>
      <c r="D9" s="928"/>
      <c r="E9" s="928"/>
      <c r="F9" s="928"/>
      <c r="G9" s="928"/>
      <c r="H9" s="928"/>
      <c r="I9" s="89"/>
      <c r="J9" s="89"/>
      <c r="K9" s="89"/>
      <c r="L9" s="89"/>
      <c r="M9" s="929" t="s">
        <v>154</v>
      </c>
      <c r="N9" s="929"/>
      <c r="O9" s="929"/>
      <c r="P9" s="929"/>
      <c r="Q9" s="929"/>
      <c r="R9" s="929"/>
      <c r="S9" s="929"/>
      <c r="U9" s="929" t="s">
        <v>155</v>
      </c>
      <c r="V9" s="929"/>
      <c r="W9" s="929"/>
      <c r="X9" s="104"/>
      <c r="Y9" s="160"/>
      <c r="Z9" s="929" t="s">
        <v>156</v>
      </c>
      <c r="AA9" s="929"/>
      <c r="AB9" s="929"/>
      <c r="AC9" s="929"/>
      <c r="AD9" s="929"/>
      <c r="AE9" s="929"/>
      <c r="AF9" s="104"/>
      <c r="AG9" s="929" t="s">
        <v>157</v>
      </c>
      <c r="AH9" s="929"/>
      <c r="AI9" s="929"/>
      <c r="AJ9" s="929"/>
      <c r="AK9" s="929"/>
      <c r="AL9" s="929"/>
      <c r="AN9" s="929" t="s">
        <v>158</v>
      </c>
      <c r="AO9" s="929"/>
      <c r="AP9" s="929"/>
      <c r="AQ9" s="929"/>
      <c r="AR9" s="929"/>
      <c r="AS9" s="929"/>
      <c r="AT9" s="159"/>
    </row>
    <row r="10" spans="1:242" ht="13.5" customHeight="1" x14ac:dyDescent="0.2">
      <c r="B10" s="19"/>
      <c r="C10" s="6"/>
      <c r="D10" s="6"/>
      <c r="E10" s="33"/>
      <c r="F10" s="33"/>
      <c r="G10" s="33"/>
      <c r="H10" s="33"/>
      <c r="I10" s="33"/>
      <c r="J10" s="33"/>
      <c r="M10" s="929"/>
      <c r="N10" s="929"/>
      <c r="O10" s="929"/>
      <c r="P10" s="929"/>
      <c r="Q10" s="929"/>
      <c r="R10" s="929"/>
      <c r="S10" s="929"/>
      <c r="U10" s="929"/>
      <c r="V10" s="929"/>
      <c r="W10" s="929"/>
      <c r="Y10" s="158"/>
      <c r="Z10" s="929"/>
      <c r="AA10" s="929"/>
      <c r="AB10" s="929"/>
      <c r="AC10" s="929"/>
      <c r="AD10" s="929"/>
      <c r="AE10" s="929"/>
      <c r="AG10" s="929"/>
      <c r="AH10" s="929"/>
      <c r="AI10" s="929"/>
      <c r="AJ10" s="929"/>
      <c r="AK10" s="929"/>
      <c r="AL10" s="929"/>
      <c r="AN10" s="929"/>
      <c r="AO10" s="929"/>
      <c r="AP10" s="929"/>
      <c r="AQ10" s="929"/>
      <c r="AR10" s="929"/>
      <c r="AS10" s="929"/>
      <c r="AT10" s="159"/>
    </row>
    <row r="11" spans="1:242" x14ac:dyDescent="0.2">
      <c r="J11" s="62" t="s">
        <v>4</v>
      </c>
      <c r="K11" s="61">
        <v>4.4999999999999998E-2</v>
      </c>
      <c r="Y11" s="158"/>
      <c r="AT11" s="159"/>
    </row>
    <row r="12" spans="1:242" ht="12.75" customHeight="1" thickBot="1" x14ac:dyDescent="0.25">
      <c r="M12" s="970"/>
      <c r="N12" s="970"/>
      <c r="O12" s="970"/>
      <c r="P12" s="970"/>
      <c r="Q12" s="970"/>
      <c r="R12" s="970"/>
      <c r="Y12" s="158"/>
      <c r="AT12" s="159"/>
    </row>
    <row r="13" spans="1:242" ht="21.75" customHeight="1" x14ac:dyDescent="0.2">
      <c r="A13" s="963" t="s">
        <v>118</v>
      </c>
      <c r="B13" s="964"/>
      <c r="C13" s="967" t="s">
        <v>73</v>
      </c>
      <c r="D13" s="967" t="s">
        <v>74</v>
      </c>
      <c r="E13" s="940" t="s">
        <v>3</v>
      </c>
      <c r="F13" s="942" t="s">
        <v>81</v>
      </c>
      <c r="G13" s="944" t="s">
        <v>263</v>
      </c>
      <c r="H13" s="945"/>
      <c r="I13" s="945"/>
      <c r="J13" s="946"/>
      <c r="K13" s="934" t="s">
        <v>265</v>
      </c>
      <c r="L13" s="28"/>
      <c r="M13" s="936" t="s">
        <v>69</v>
      </c>
      <c r="N13" s="937"/>
      <c r="O13" s="938" t="s">
        <v>70</v>
      </c>
      <c r="P13" s="939"/>
      <c r="Q13" s="962" t="s">
        <v>71</v>
      </c>
      <c r="R13" s="962"/>
      <c r="S13" s="981" t="s">
        <v>144</v>
      </c>
      <c r="U13" s="930" t="s">
        <v>75</v>
      </c>
      <c r="V13" s="932" t="s">
        <v>76</v>
      </c>
      <c r="W13" s="969" t="s">
        <v>266</v>
      </c>
      <c r="Y13" s="158"/>
      <c r="Z13" s="975" t="s">
        <v>69</v>
      </c>
      <c r="AA13" s="976"/>
      <c r="AB13" s="977" t="s">
        <v>70</v>
      </c>
      <c r="AC13" s="978"/>
      <c r="AD13" s="979" t="s">
        <v>71</v>
      </c>
      <c r="AE13" s="980"/>
      <c r="AG13" s="936" t="s">
        <v>69</v>
      </c>
      <c r="AH13" s="983"/>
      <c r="AI13" s="938" t="s">
        <v>70</v>
      </c>
      <c r="AJ13" s="939"/>
      <c r="AK13" s="971" t="s">
        <v>71</v>
      </c>
      <c r="AL13" s="972"/>
      <c r="AN13" s="936" t="s">
        <v>69</v>
      </c>
      <c r="AO13" s="983"/>
      <c r="AP13" s="938" t="s">
        <v>70</v>
      </c>
      <c r="AQ13" s="939"/>
      <c r="AR13" s="971" t="s">
        <v>71</v>
      </c>
      <c r="AS13" s="972"/>
      <c r="AT13" s="159"/>
    </row>
    <row r="14" spans="1:242" ht="49.5" customHeight="1" thickBot="1" x14ac:dyDescent="0.25">
      <c r="A14" s="965"/>
      <c r="B14" s="966"/>
      <c r="C14" s="968"/>
      <c r="D14" s="968"/>
      <c r="E14" s="941"/>
      <c r="F14" s="943"/>
      <c r="G14" s="644" t="s">
        <v>218</v>
      </c>
      <c r="H14" s="262" t="s">
        <v>116</v>
      </c>
      <c r="I14" s="262" t="s">
        <v>117</v>
      </c>
      <c r="J14" s="652" t="s">
        <v>264</v>
      </c>
      <c r="K14" s="935"/>
      <c r="L14" s="28"/>
      <c r="M14" s="139" t="s">
        <v>36</v>
      </c>
      <c r="N14" s="141" t="s">
        <v>37</v>
      </c>
      <c r="O14" s="149" t="s">
        <v>36</v>
      </c>
      <c r="P14" s="150" t="s">
        <v>37</v>
      </c>
      <c r="Q14" s="142" t="s">
        <v>36</v>
      </c>
      <c r="R14" s="535" t="s">
        <v>37</v>
      </c>
      <c r="S14" s="982"/>
      <c r="U14" s="931"/>
      <c r="V14" s="933"/>
      <c r="W14" s="969"/>
      <c r="Y14" s="158"/>
      <c r="Z14" s="139" t="s">
        <v>36</v>
      </c>
      <c r="AA14" s="141" t="s">
        <v>37</v>
      </c>
      <c r="AB14" s="149" t="s">
        <v>36</v>
      </c>
      <c r="AC14" s="150" t="s">
        <v>37</v>
      </c>
      <c r="AD14" s="142" t="s">
        <v>36</v>
      </c>
      <c r="AE14" s="140" t="s">
        <v>37</v>
      </c>
      <c r="AG14" s="161" t="s">
        <v>36</v>
      </c>
      <c r="AH14" s="162" t="s">
        <v>37</v>
      </c>
      <c r="AI14" s="163" t="s">
        <v>36</v>
      </c>
      <c r="AJ14" s="164" t="s">
        <v>37</v>
      </c>
      <c r="AK14" s="165" t="s">
        <v>36</v>
      </c>
      <c r="AL14" s="166" t="s">
        <v>37</v>
      </c>
      <c r="AN14" s="973" t="s">
        <v>145</v>
      </c>
      <c r="AO14" s="974"/>
      <c r="AP14" s="986" t="s">
        <v>145</v>
      </c>
      <c r="AQ14" s="987"/>
      <c r="AR14" s="988" t="s">
        <v>146</v>
      </c>
      <c r="AS14" s="989"/>
      <c r="AT14" s="159"/>
    </row>
    <row r="15" spans="1:242" ht="12.75" customHeight="1" thickBot="1" x14ac:dyDescent="0.25">
      <c r="A15" s="953" t="s">
        <v>140</v>
      </c>
      <c r="B15" s="956" t="s">
        <v>93</v>
      </c>
      <c r="C15" s="692" t="s">
        <v>295</v>
      </c>
      <c r="D15" s="693" t="s">
        <v>296</v>
      </c>
      <c r="E15" s="694" t="s">
        <v>297</v>
      </c>
      <c r="F15" s="695" t="s">
        <v>298</v>
      </c>
      <c r="G15" s="696">
        <v>17736407</v>
      </c>
      <c r="H15" s="697">
        <v>159742</v>
      </c>
      <c r="I15" s="731">
        <v>157184</v>
      </c>
      <c r="J15" s="655">
        <f>SUM(G15:I15)</f>
        <v>18053333</v>
      </c>
      <c r="K15" s="97">
        <f t="shared" ref="K15:K61" si="0">+J15*(1+$K$11)</f>
        <v>18865732.984999999</v>
      </c>
      <c r="L15" s="28"/>
      <c r="M15" s="117">
        <v>0.13</v>
      </c>
      <c r="N15" s="135">
        <f t="shared" ref="N15:N61" si="1">+$K15*M15</f>
        <v>2452545.2880500001</v>
      </c>
      <c r="O15" s="117">
        <v>0.03</v>
      </c>
      <c r="P15" s="146">
        <f t="shared" ref="P15:P61" si="2">+$K15*O15</f>
        <v>565971.98954999994</v>
      </c>
      <c r="Q15" s="143">
        <v>0.84</v>
      </c>
      <c r="R15" s="135">
        <f t="shared" ref="R15:R61" si="3">+$K15*Q15</f>
        <v>15847215.7074</v>
      </c>
      <c r="S15" s="536">
        <f>+M15+O15+Q15</f>
        <v>1</v>
      </c>
      <c r="U15" s="108"/>
      <c r="V15" s="105" t="s">
        <v>11</v>
      </c>
      <c r="W15" s="111">
        <f>SUM(W16,W20)</f>
        <v>47290874.584999993</v>
      </c>
      <c r="Y15" s="158"/>
      <c r="Z15" s="151">
        <f t="shared" ref="Z15:AE15" si="4">+M62</f>
        <v>0.32176618788206579</v>
      </c>
      <c r="AA15" s="153">
        <f t="shared" si="4"/>
        <v>104057293.74034169</v>
      </c>
      <c r="AB15" s="151">
        <f t="shared" si="4"/>
        <v>9.6606988375987246E-2</v>
      </c>
      <c r="AC15" s="154">
        <f t="shared" si="4"/>
        <v>31242132.161177848</v>
      </c>
      <c r="AD15" s="152">
        <f t="shared" si="4"/>
        <v>0.58162682374194707</v>
      </c>
      <c r="AE15" s="154">
        <f t="shared" si="4"/>
        <v>188094695.85275546</v>
      </c>
      <c r="AG15" s="223">
        <f>+Z15</f>
        <v>0.32176618788206579</v>
      </c>
      <c r="AH15" s="224">
        <f>+AG15*W80</f>
        <v>26136608.073770903</v>
      </c>
      <c r="AI15" s="225">
        <f>+AB15</f>
        <v>9.6606988375987246E-2</v>
      </c>
      <c r="AJ15" s="224">
        <f>+AI15*W80</f>
        <v>7847247.7452975232</v>
      </c>
      <c r="AK15" s="226">
        <f>+AD15</f>
        <v>0.58162682374194707</v>
      </c>
      <c r="AL15" s="227">
        <f>+AK15*W80</f>
        <v>47244716.535931572</v>
      </c>
      <c r="AN15" s="984">
        <f>+AH15+AA15</f>
        <v>130193901.8141126</v>
      </c>
      <c r="AO15" s="985"/>
      <c r="AP15" s="984">
        <f>+AJ15+AC15+K70</f>
        <v>39089379.906475373</v>
      </c>
      <c r="AQ15" s="985"/>
      <c r="AR15" s="984">
        <f>+AL15+AE15</f>
        <v>235339412.38868701</v>
      </c>
      <c r="AS15" s="985"/>
      <c r="AT15" s="159"/>
    </row>
    <row r="16" spans="1:242" ht="15" x14ac:dyDescent="0.2">
      <c r="A16" s="954"/>
      <c r="B16" s="957"/>
      <c r="C16" s="699" t="s">
        <v>299</v>
      </c>
      <c r="D16" s="700" t="s">
        <v>300</v>
      </c>
      <c r="E16" s="701" t="s">
        <v>301</v>
      </c>
      <c r="F16" s="702" t="s">
        <v>298</v>
      </c>
      <c r="G16" s="703">
        <v>12634157.75</v>
      </c>
      <c r="H16" s="704">
        <v>159742</v>
      </c>
      <c r="I16" s="732">
        <v>157184</v>
      </c>
      <c r="J16" s="100">
        <f t="shared" ref="J16:J39" si="5">SUM(G16:I16)</f>
        <v>12951083.75</v>
      </c>
      <c r="K16" s="98">
        <f t="shared" si="0"/>
        <v>13533882.518749999</v>
      </c>
      <c r="L16" s="28"/>
      <c r="M16" s="133">
        <v>0.44800000000000001</v>
      </c>
      <c r="N16" s="136">
        <f t="shared" si="1"/>
        <v>6063179.3684</v>
      </c>
      <c r="O16" s="133">
        <v>8.5999999999999993E-2</v>
      </c>
      <c r="P16" s="134">
        <f t="shared" si="2"/>
        <v>1163913.8966124998</v>
      </c>
      <c r="Q16" s="144">
        <v>0.46600000000000003</v>
      </c>
      <c r="R16" s="136">
        <f t="shared" si="3"/>
        <v>6306789.2537374999</v>
      </c>
      <c r="S16" s="537">
        <f t="shared" ref="S16:S61" si="6">+M16+O16+Q16</f>
        <v>1</v>
      </c>
      <c r="U16" s="109"/>
      <c r="V16" s="106" t="s">
        <v>12</v>
      </c>
      <c r="W16" s="112">
        <f>SUM(W17:W19)</f>
        <v>1500000</v>
      </c>
      <c r="Y16" s="158"/>
      <c r="AT16" s="159"/>
    </row>
    <row r="17" spans="1:46" ht="12.75" customHeight="1" x14ac:dyDescent="0.2">
      <c r="A17" s="954"/>
      <c r="B17" s="957"/>
      <c r="C17" s="699" t="s">
        <v>302</v>
      </c>
      <c r="D17" s="700" t="s">
        <v>303</v>
      </c>
      <c r="E17" s="701" t="s">
        <v>304</v>
      </c>
      <c r="F17" s="702" t="s">
        <v>298</v>
      </c>
      <c r="G17" s="703">
        <v>14005972.75</v>
      </c>
      <c r="H17" s="704">
        <v>159742</v>
      </c>
      <c r="I17" s="732">
        <v>160844</v>
      </c>
      <c r="J17" s="100">
        <f t="shared" si="5"/>
        <v>14326558.75</v>
      </c>
      <c r="K17" s="98">
        <f t="shared" si="0"/>
        <v>14971253.893749999</v>
      </c>
      <c r="L17" s="28"/>
      <c r="M17" s="133">
        <v>0.13</v>
      </c>
      <c r="N17" s="136">
        <f t="shared" si="1"/>
        <v>1946263.0061875</v>
      </c>
      <c r="O17" s="133">
        <v>0.03</v>
      </c>
      <c r="P17" s="134">
        <f t="shared" si="2"/>
        <v>449137.61681249994</v>
      </c>
      <c r="Q17" s="144">
        <v>0.84</v>
      </c>
      <c r="R17" s="136">
        <f t="shared" si="3"/>
        <v>12575853.270749999</v>
      </c>
      <c r="S17" s="537">
        <f t="shared" si="6"/>
        <v>1</v>
      </c>
      <c r="U17" s="110">
        <v>53103050000000</v>
      </c>
      <c r="V17" s="107" t="s">
        <v>13</v>
      </c>
      <c r="W17" s="113">
        <v>0</v>
      </c>
      <c r="Y17" s="158"/>
      <c r="AT17" s="159"/>
    </row>
    <row r="18" spans="1:46" ht="13.5" customHeight="1" thickBot="1" x14ac:dyDescent="0.25">
      <c r="A18" s="954"/>
      <c r="B18" s="957"/>
      <c r="C18" s="699" t="s">
        <v>305</v>
      </c>
      <c r="D18" s="700" t="s">
        <v>306</v>
      </c>
      <c r="E18" s="701" t="s">
        <v>301</v>
      </c>
      <c r="F18" s="702" t="s">
        <v>298</v>
      </c>
      <c r="G18" s="703">
        <v>10595717.875</v>
      </c>
      <c r="H18" s="704">
        <v>159742</v>
      </c>
      <c r="I18" s="732">
        <v>160844</v>
      </c>
      <c r="J18" s="100">
        <f t="shared" si="5"/>
        <v>10916303.875</v>
      </c>
      <c r="K18" s="98">
        <f t="shared" si="0"/>
        <v>11407537.549374999</v>
      </c>
      <c r="L18" s="28"/>
      <c r="M18" s="133">
        <v>0.26</v>
      </c>
      <c r="N18" s="136">
        <f t="shared" si="1"/>
        <v>2965959.7628374998</v>
      </c>
      <c r="O18" s="133">
        <v>0.309</v>
      </c>
      <c r="P18" s="134">
        <f t="shared" si="2"/>
        <v>3524929.1027568746</v>
      </c>
      <c r="Q18" s="144">
        <v>0.43099999999999999</v>
      </c>
      <c r="R18" s="136">
        <f t="shared" si="3"/>
        <v>4916648.6837806245</v>
      </c>
      <c r="S18" s="537">
        <f t="shared" si="6"/>
        <v>1</v>
      </c>
      <c r="U18" s="110">
        <v>53103060000000</v>
      </c>
      <c r="V18" s="107" t="s">
        <v>14</v>
      </c>
      <c r="W18" s="113">
        <v>1500000</v>
      </c>
      <c r="Y18" s="167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9"/>
    </row>
    <row r="19" spans="1:46" ht="15" x14ac:dyDescent="0.2">
      <c r="A19" s="954"/>
      <c r="B19" s="957"/>
      <c r="C19" s="699" t="s">
        <v>309</v>
      </c>
      <c r="D19" s="700" t="s">
        <v>310</v>
      </c>
      <c r="E19" s="701" t="s">
        <v>311</v>
      </c>
      <c r="F19" s="702" t="s">
        <v>298</v>
      </c>
      <c r="G19" s="703">
        <v>13863517.625</v>
      </c>
      <c r="H19" s="704">
        <v>159742</v>
      </c>
      <c r="I19" s="732">
        <v>157184</v>
      </c>
      <c r="J19" s="100">
        <f t="shared" si="5"/>
        <v>14180443.625</v>
      </c>
      <c r="K19" s="98">
        <f t="shared" si="0"/>
        <v>14818563.588125</v>
      </c>
      <c r="L19" s="28"/>
      <c r="M19" s="133">
        <v>0.33</v>
      </c>
      <c r="N19" s="136">
        <f t="shared" si="1"/>
        <v>4890125.9840812506</v>
      </c>
      <c r="O19" s="133">
        <v>0.12</v>
      </c>
      <c r="P19" s="134">
        <f t="shared" si="2"/>
        <v>1778227.6305749998</v>
      </c>
      <c r="Q19" s="144">
        <v>0.55000000000000004</v>
      </c>
      <c r="R19" s="136">
        <f t="shared" si="3"/>
        <v>8150209.9734687507</v>
      </c>
      <c r="S19" s="537">
        <f t="shared" si="6"/>
        <v>1</v>
      </c>
      <c r="U19" s="110">
        <v>53103080010000</v>
      </c>
      <c r="V19" s="107" t="s">
        <v>15</v>
      </c>
      <c r="W19" s="113">
        <v>0</v>
      </c>
    </row>
    <row r="20" spans="1:46" ht="15" x14ac:dyDescent="0.2">
      <c r="A20" s="954"/>
      <c r="B20" s="957"/>
      <c r="C20" s="699" t="s">
        <v>312</v>
      </c>
      <c r="D20" s="700" t="s">
        <v>313</v>
      </c>
      <c r="E20" s="701" t="s">
        <v>314</v>
      </c>
      <c r="F20" s="702" t="s">
        <v>298</v>
      </c>
      <c r="G20" s="703">
        <v>11295471.875</v>
      </c>
      <c r="H20" s="704">
        <v>159742</v>
      </c>
      <c r="I20" s="732">
        <v>160844</v>
      </c>
      <c r="J20" s="100">
        <f t="shared" si="5"/>
        <v>11616057.875</v>
      </c>
      <c r="K20" s="98">
        <f t="shared" si="0"/>
        <v>12138780.479374999</v>
      </c>
      <c r="L20" s="28"/>
      <c r="M20" s="133">
        <v>0.56000000000000005</v>
      </c>
      <c r="N20" s="136">
        <f t="shared" si="1"/>
        <v>6797717.0684500001</v>
      </c>
      <c r="O20" s="133">
        <v>0.27</v>
      </c>
      <c r="P20" s="134">
        <f t="shared" si="2"/>
        <v>3277470.7294312501</v>
      </c>
      <c r="Q20" s="144">
        <v>0.17</v>
      </c>
      <c r="R20" s="136">
        <f t="shared" si="3"/>
        <v>2063592.6814937501</v>
      </c>
      <c r="S20" s="537">
        <f t="shared" si="6"/>
        <v>1</v>
      </c>
      <c r="U20" s="109"/>
      <c r="V20" s="106" t="s">
        <v>16</v>
      </c>
      <c r="W20" s="170">
        <f>SUM(W21:W39)</f>
        <v>45790874.584999993</v>
      </c>
    </row>
    <row r="21" spans="1:46" ht="15" x14ac:dyDescent="0.2">
      <c r="A21" s="954"/>
      <c r="B21" s="957"/>
      <c r="C21" s="725" t="s">
        <v>315</v>
      </c>
      <c r="D21" s="700" t="s">
        <v>316</v>
      </c>
      <c r="E21" s="701" t="s">
        <v>314</v>
      </c>
      <c r="F21" s="702" t="s">
        <v>298</v>
      </c>
      <c r="G21" s="703">
        <v>12931729.25</v>
      </c>
      <c r="H21" s="704">
        <v>159742</v>
      </c>
      <c r="I21" s="732">
        <v>160844</v>
      </c>
      <c r="J21" s="100">
        <f t="shared" si="5"/>
        <v>13252315.25</v>
      </c>
      <c r="K21" s="98">
        <f t="shared" si="0"/>
        <v>13848669.436249999</v>
      </c>
      <c r="L21" s="28"/>
      <c r="M21" s="133">
        <v>0.56000000000000005</v>
      </c>
      <c r="N21" s="136">
        <f t="shared" si="1"/>
        <v>7755254.8843</v>
      </c>
      <c r="O21" s="133">
        <v>0.27</v>
      </c>
      <c r="P21" s="134">
        <f t="shared" si="2"/>
        <v>3739140.7477875003</v>
      </c>
      <c r="Q21" s="144">
        <v>0.17</v>
      </c>
      <c r="R21" s="136">
        <f t="shared" si="3"/>
        <v>2354273.8041625</v>
      </c>
      <c r="S21" s="537">
        <f t="shared" si="6"/>
        <v>1</v>
      </c>
      <c r="U21" s="110">
        <v>53201010100000</v>
      </c>
      <c r="V21" s="107" t="s">
        <v>17</v>
      </c>
      <c r="W21" s="113">
        <v>10928230.635</v>
      </c>
    </row>
    <row r="22" spans="1:46" ht="15" x14ac:dyDescent="0.2">
      <c r="A22" s="954"/>
      <c r="B22" s="957"/>
      <c r="C22" s="719" t="s">
        <v>344</v>
      </c>
      <c r="D22" s="720" t="s">
        <v>307</v>
      </c>
      <c r="E22" s="721" t="s">
        <v>308</v>
      </c>
      <c r="F22" s="722" t="s">
        <v>298</v>
      </c>
      <c r="G22" s="723">
        <f>1200000*12*1.035</f>
        <v>14903999.999999998</v>
      </c>
      <c r="H22" s="724">
        <v>159742</v>
      </c>
      <c r="I22" s="732">
        <v>157184</v>
      </c>
      <c r="J22" s="100">
        <f t="shared" si="5"/>
        <v>15220925.999999998</v>
      </c>
      <c r="K22" s="98">
        <f t="shared" si="0"/>
        <v>15905867.669999996</v>
      </c>
      <c r="L22" s="28"/>
      <c r="M22" s="133">
        <v>0.13</v>
      </c>
      <c r="N22" s="136">
        <f t="shared" si="1"/>
        <v>2067762.7970999996</v>
      </c>
      <c r="O22" s="133">
        <v>0.03</v>
      </c>
      <c r="P22" s="134">
        <f t="shared" si="2"/>
        <v>477176.03009999986</v>
      </c>
      <c r="Q22" s="144">
        <v>0.84</v>
      </c>
      <c r="R22" s="136">
        <f t="shared" si="3"/>
        <v>13360928.842799997</v>
      </c>
      <c r="S22" s="537">
        <f t="shared" si="6"/>
        <v>1</v>
      </c>
      <c r="U22" s="110">
        <v>53202010100000</v>
      </c>
      <c r="V22" s="107" t="s">
        <v>18</v>
      </c>
      <c r="W22" s="113">
        <v>0</v>
      </c>
    </row>
    <row r="23" spans="1:46" ht="15" x14ac:dyDescent="0.2">
      <c r="A23" s="954"/>
      <c r="B23" s="957"/>
      <c r="C23" s="728" t="s">
        <v>344</v>
      </c>
      <c r="D23" s="718" t="s">
        <v>307</v>
      </c>
      <c r="E23" s="729" t="s">
        <v>345</v>
      </c>
      <c r="F23" s="702" t="s">
        <v>298</v>
      </c>
      <c r="G23" s="703">
        <f>1200000*12*1.035</f>
        <v>14903999.999999998</v>
      </c>
      <c r="H23" s="704">
        <v>159742</v>
      </c>
      <c r="I23" s="732">
        <v>157184</v>
      </c>
      <c r="J23" s="100">
        <f t="shared" si="5"/>
        <v>15220925.999999998</v>
      </c>
      <c r="K23" s="98">
        <f t="shared" si="0"/>
        <v>15905867.669999996</v>
      </c>
      <c r="L23" s="28"/>
      <c r="M23" s="133">
        <v>0.93799999999999994</v>
      </c>
      <c r="N23" s="136">
        <f t="shared" si="1"/>
        <v>14919703.874459995</v>
      </c>
      <c r="O23" s="133">
        <v>1.2E-2</v>
      </c>
      <c r="P23" s="134">
        <f t="shared" si="2"/>
        <v>190870.41203999997</v>
      </c>
      <c r="Q23" s="144">
        <v>0.05</v>
      </c>
      <c r="R23" s="136">
        <f t="shared" si="3"/>
        <v>795293.38349999988</v>
      </c>
      <c r="S23" s="537">
        <f t="shared" si="6"/>
        <v>1</v>
      </c>
      <c r="U23" s="110">
        <v>53203010100000</v>
      </c>
      <c r="V23" s="107" t="s">
        <v>19</v>
      </c>
      <c r="W23" s="113">
        <v>3719084.145</v>
      </c>
    </row>
    <row r="24" spans="1:46" ht="15.75" thickBot="1" x14ac:dyDescent="0.25">
      <c r="A24" s="954"/>
      <c r="B24" s="958"/>
      <c r="C24" s="726"/>
      <c r="D24" s="727"/>
      <c r="E24" s="706"/>
      <c r="F24" s="707"/>
      <c r="G24" s="708"/>
      <c r="H24" s="709"/>
      <c r="I24" s="733"/>
      <c r="J24" s="222">
        <f t="shared" si="5"/>
        <v>0</v>
      </c>
      <c r="K24" s="96">
        <f t="shared" si="0"/>
        <v>0</v>
      </c>
      <c r="L24" s="28"/>
      <c r="M24" s="138">
        <v>0</v>
      </c>
      <c r="N24" s="137">
        <f t="shared" si="1"/>
        <v>0</v>
      </c>
      <c r="O24" s="138">
        <v>0</v>
      </c>
      <c r="P24" s="147">
        <f t="shared" si="2"/>
        <v>0</v>
      </c>
      <c r="Q24" s="145">
        <v>0</v>
      </c>
      <c r="R24" s="137">
        <f t="shared" si="3"/>
        <v>0</v>
      </c>
      <c r="S24" s="538">
        <f t="shared" si="6"/>
        <v>0</v>
      </c>
      <c r="U24" s="110">
        <v>53203030000000</v>
      </c>
      <c r="V24" s="107" t="s">
        <v>20</v>
      </c>
      <c r="W24" s="113">
        <v>0</v>
      </c>
    </row>
    <row r="25" spans="1:46" ht="12.75" customHeight="1" x14ac:dyDescent="0.2">
      <c r="A25" s="954"/>
      <c r="B25" s="956" t="s">
        <v>92</v>
      </c>
      <c r="C25" s="699" t="s">
        <v>317</v>
      </c>
      <c r="D25" s="700" t="s">
        <v>318</v>
      </c>
      <c r="E25" s="694" t="s">
        <v>319</v>
      </c>
      <c r="F25" s="695" t="s">
        <v>298</v>
      </c>
      <c r="G25" s="723">
        <v>12429714.045000002</v>
      </c>
      <c r="H25" s="724">
        <v>159742</v>
      </c>
      <c r="I25" s="730">
        <v>160844</v>
      </c>
      <c r="J25" s="655">
        <f t="shared" si="5"/>
        <v>12750300.045000002</v>
      </c>
      <c r="K25" s="97">
        <f t="shared" si="0"/>
        <v>13324063.547025001</v>
      </c>
      <c r="L25" s="28"/>
      <c r="M25" s="117">
        <v>0.308</v>
      </c>
      <c r="N25" s="135">
        <f t="shared" si="1"/>
        <v>4103811.5724837002</v>
      </c>
      <c r="O25" s="117">
        <v>0.109</v>
      </c>
      <c r="P25" s="146">
        <f t="shared" si="2"/>
        <v>1452322.9266257251</v>
      </c>
      <c r="Q25" s="143">
        <v>0.58299999999999996</v>
      </c>
      <c r="R25" s="135">
        <f t="shared" si="3"/>
        <v>7767929.0479155751</v>
      </c>
      <c r="S25" s="536">
        <f t="shared" si="6"/>
        <v>1</v>
      </c>
      <c r="U25" s="110">
        <v>53204030000000</v>
      </c>
      <c r="V25" s="107" t="s">
        <v>21</v>
      </c>
      <c r="W25" s="113">
        <v>0</v>
      </c>
    </row>
    <row r="26" spans="1:46" ht="12.75" customHeight="1" x14ac:dyDescent="0.2">
      <c r="A26" s="954"/>
      <c r="B26" s="957"/>
      <c r="C26" s="699" t="s">
        <v>320</v>
      </c>
      <c r="D26" s="700" t="s">
        <v>321</v>
      </c>
      <c r="E26" s="701" t="s">
        <v>322</v>
      </c>
      <c r="F26" s="702" t="s">
        <v>298</v>
      </c>
      <c r="G26" s="703">
        <v>25803281.25</v>
      </c>
      <c r="H26" s="704">
        <v>159742</v>
      </c>
      <c r="I26" s="705">
        <v>157184</v>
      </c>
      <c r="J26" s="100">
        <f t="shared" si="5"/>
        <v>26120207.25</v>
      </c>
      <c r="K26" s="98">
        <f t="shared" si="0"/>
        <v>27295616.576249998</v>
      </c>
      <c r="L26" s="28"/>
      <c r="M26" s="734">
        <v>0.308</v>
      </c>
      <c r="N26" s="136">
        <f t="shared" si="1"/>
        <v>8407049.9054849986</v>
      </c>
      <c r="O26" s="133">
        <v>0.109</v>
      </c>
      <c r="P26" s="134">
        <f t="shared" si="2"/>
        <v>2975222.2068112497</v>
      </c>
      <c r="Q26" s="144">
        <v>0.58299999999999996</v>
      </c>
      <c r="R26" s="136">
        <f t="shared" si="3"/>
        <v>15913344.463953748</v>
      </c>
      <c r="S26" s="537">
        <f t="shared" si="6"/>
        <v>1</v>
      </c>
      <c r="U26" s="110">
        <v>53204100100001</v>
      </c>
      <c r="V26" s="107" t="s">
        <v>22</v>
      </c>
      <c r="W26" s="113">
        <v>7118602.1550000003</v>
      </c>
    </row>
    <row r="27" spans="1:46" ht="12.75" customHeight="1" x14ac:dyDescent="0.2">
      <c r="A27" s="954"/>
      <c r="B27" s="957"/>
      <c r="C27" s="699" t="s">
        <v>323</v>
      </c>
      <c r="D27" s="700" t="s">
        <v>324</v>
      </c>
      <c r="E27" s="701" t="s">
        <v>319</v>
      </c>
      <c r="F27" s="702" t="s">
        <v>298</v>
      </c>
      <c r="G27" s="703">
        <v>19468984.875</v>
      </c>
      <c r="H27" s="704">
        <v>159742</v>
      </c>
      <c r="I27" s="705">
        <v>157184</v>
      </c>
      <c r="J27" s="100">
        <f t="shared" si="5"/>
        <v>19785910.875</v>
      </c>
      <c r="K27" s="98">
        <f t="shared" si="0"/>
        <v>20676276.864374999</v>
      </c>
      <c r="L27" s="28"/>
      <c r="M27" s="734">
        <v>0.308</v>
      </c>
      <c r="N27" s="136">
        <f t="shared" si="1"/>
        <v>6368293.2742275</v>
      </c>
      <c r="O27" s="133">
        <v>0.109</v>
      </c>
      <c r="P27" s="134">
        <f t="shared" si="2"/>
        <v>2253714.1782168751</v>
      </c>
      <c r="Q27" s="144">
        <v>0.58299999999999996</v>
      </c>
      <c r="R27" s="136">
        <f t="shared" si="3"/>
        <v>12054269.411930624</v>
      </c>
      <c r="S27" s="537">
        <f t="shared" si="6"/>
        <v>1</v>
      </c>
      <c r="U27" s="110">
        <v>53204130100000</v>
      </c>
      <c r="V27" s="107" t="s">
        <v>23</v>
      </c>
      <c r="W27" s="113">
        <v>0</v>
      </c>
    </row>
    <row r="28" spans="1:46" ht="12.75" customHeight="1" x14ac:dyDescent="0.2">
      <c r="A28" s="954"/>
      <c r="B28" s="957"/>
      <c r="C28" s="699" t="s">
        <v>325</v>
      </c>
      <c r="D28" s="700" t="s">
        <v>326</v>
      </c>
      <c r="E28" s="701" t="s">
        <v>319</v>
      </c>
      <c r="F28" s="702" t="s">
        <v>298</v>
      </c>
      <c r="G28" s="703">
        <v>12860658.375</v>
      </c>
      <c r="H28" s="704">
        <v>159742</v>
      </c>
      <c r="I28" s="705">
        <v>160844</v>
      </c>
      <c r="J28" s="100">
        <f t="shared" si="5"/>
        <v>13181244.375</v>
      </c>
      <c r="K28" s="98">
        <f t="shared" si="0"/>
        <v>13774400.371874999</v>
      </c>
      <c r="L28" s="28"/>
      <c r="M28" s="734">
        <v>0.308</v>
      </c>
      <c r="N28" s="136">
        <f t="shared" si="1"/>
        <v>4242515.3145375</v>
      </c>
      <c r="O28" s="133">
        <v>0.109</v>
      </c>
      <c r="P28" s="134">
        <f t="shared" si="2"/>
        <v>1501409.6405343749</v>
      </c>
      <c r="Q28" s="144">
        <v>0.58299999999999996</v>
      </c>
      <c r="R28" s="136">
        <f t="shared" si="3"/>
        <v>8030475.4168031244</v>
      </c>
      <c r="S28" s="537">
        <f t="shared" si="6"/>
        <v>1</v>
      </c>
      <c r="U28" s="110">
        <v>53205010100000</v>
      </c>
      <c r="V28" s="107" t="s">
        <v>24</v>
      </c>
      <c r="W28" s="113">
        <v>5718183.5549999997</v>
      </c>
    </row>
    <row r="29" spans="1:46" ht="12.75" customHeight="1" x14ac:dyDescent="0.2">
      <c r="A29" s="954"/>
      <c r="B29" s="957"/>
      <c r="C29" s="699" t="s">
        <v>327</v>
      </c>
      <c r="D29" s="700" t="s">
        <v>328</v>
      </c>
      <c r="E29" s="701" t="s">
        <v>329</v>
      </c>
      <c r="F29" s="702" t="s">
        <v>298</v>
      </c>
      <c r="G29" s="703">
        <v>13212890.799999999</v>
      </c>
      <c r="H29" s="704">
        <v>159742</v>
      </c>
      <c r="I29" s="705">
        <v>160844</v>
      </c>
      <c r="J29" s="100">
        <f t="shared" si="5"/>
        <v>13533476.799999999</v>
      </c>
      <c r="K29" s="98">
        <f t="shared" si="0"/>
        <v>14142483.255999997</v>
      </c>
      <c r="L29" s="28"/>
      <c r="M29" s="734">
        <v>0.308</v>
      </c>
      <c r="N29" s="136">
        <f t="shared" si="1"/>
        <v>4355884.8428479992</v>
      </c>
      <c r="O29" s="133">
        <v>0.109</v>
      </c>
      <c r="P29" s="134">
        <f t="shared" si="2"/>
        <v>1541530.6749039998</v>
      </c>
      <c r="Q29" s="144">
        <v>0.58299999999999996</v>
      </c>
      <c r="R29" s="136">
        <f t="shared" si="3"/>
        <v>8245067.7382479981</v>
      </c>
      <c r="S29" s="537">
        <f t="shared" si="6"/>
        <v>1</v>
      </c>
      <c r="U29" s="110">
        <v>53205020100000</v>
      </c>
      <c r="V29" s="107" t="s">
        <v>25</v>
      </c>
      <c r="W29" s="113">
        <v>1005548.775</v>
      </c>
    </row>
    <row r="30" spans="1:46" ht="12.75" customHeight="1" x14ac:dyDescent="0.2">
      <c r="A30" s="954"/>
      <c r="B30" s="957"/>
      <c r="C30" s="71"/>
      <c r="D30" s="94"/>
      <c r="E30" s="95"/>
      <c r="F30" s="649"/>
      <c r="G30" s="656">
        <v>0</v>
      </c>
      <c r="H30" s="582">
        <v>0</v>
      </c>
      <c r="I30" s="657">
        <v>0</v>
      </c>
      <c r="J30" s="100">
        <f t="shared" si="5"/>
        <v>0</v>
      </c>
      <c r="K30" s="98">
        <f t="shared" si="0"/>
        <v>0</v>
      </c>
      <c r="L30" s="28"/>
      <c r="M30" s="133">
        <v>0</v>
      </c>
      <c r="N30" s="136">
        <f t="shared" si="1"/>
        <v>0</v>
      </c>
      <c r="O30" s="133">
        <v>0</v>
      </c>
      <c r="P30" s="134">
        <f t="shared" si="2"/>
        <v>0</v>
      </c>
      <c r="Q30" s="144">
        <v>0</v>
      </c>
      <c r="R30" s="136">
        <f t="shared" si="3"/>
        <v>0</v>
      </c>
      <c r="S30" s="537">
        <f t="shared" si="6"/>
        <v>0</v>
      </c>
      <c r="U30" s="110">
        <v>53205030100000</v>
      </c>
      <c r="V30" s="107" t="s">
        <v>26</v>
      </c>
      <c r="W30" s="113">
        <v>1775489.835</v>
      </c>
    </row>
    <row r="31" spans="1:46" ht="12.75" customHeight="1" x14ac:dyDescent="0.2">
      <c r="A31" s="954"/>
      <c r="B31" s="957"/>
      <c r="C31" s="71"/>
      <c r="D31" s="94"/>
      <c r="E31" s="701"/>
      <c r="F31" s="702"/>
      <c r="G31" s="703">
        <v>0</v>
      </c>
      <c r="H31" s="704">
        <v>0</v>
      </c>
      <c r="I31" s="705">
        <v>0</v>
      </c>
      <c r="J31" s="100">
        <f t="shared" si="5"/>
        <v>0</v>
      </c>
      <c r="K31" s="98">
        <f t="shared" si="0"/>
        <v>0</v>
      </c>
      <c r="L31" s="28"/>
      <c r="M31" s="133">
        <v>0</v>
      </c>
      <c r="N31" s="136">
        <f t="shared" si="1"/>
        <v>0</v>
      </c>
      <c r="O31" s="133">
        <v>0</v>
      </c>
      <c r="P31" s="134">
        <f t="shared" si="2"/>
        <v>0</v>
      </c>
      <c r="Q31" s="144">
        <v>0</v>
      </c>
      <c r="R31" s="136">
        <f t="shared" si="3"/>
        <v>0</v>
      </c>
      <c r="S31" s="537">
        <f t="shared" si="6"/>
        <v>0</v>
      </c>
      <c r="U31" s="110">
        <v>53205050100000</v>
      </c>
      <c r="V31" s="107" t="s">
        <v>27</v>
      </c>
      <c r="W31" s="113">
        <v>0</v>
      </c>
    </row>
    <row r="32" spans="1:46" ht="12.75" customHeight="1" x14ac:dyDescent="0.2">
      <c r="A32" s="954"/>
      <c r="B32" s="957"/>
      <c r="C32" s="71"/>
      <c r="D32" s="94"/>
      <c r="E32" s="701"/>
      <c r="F32" s="702"/>
      <c r="G32" s="703">
        <v>0</v>
      </c>
      <c r="H32" s="704">
        <v>0</v>
      </c>
      <c r="I32" s="705">
        <v>0</v>
      </c>
      <c r="J32" s="100">
        <f t="shared" si="5"/>
        <v>0</v>
      </c>
      <c r="K32" s="98">
        <f t="shared" si="0"/>
        <v>0</v>
      </c>
      <c r="L32" s="28"/>
      <c r="M32" s="133">
        <v>0</v>
      </c>
      <c r="N32" s="136">
        <f t="shared" si="1"/>
        <v>0</v>
      </c>
      <c r="O32" s="133">
        <v>0</v>
      </c>
      <c r="P32" s="134">
        <f t="shared" si="2"/>
        <v>0</v>
      </c>
      <c r="Q32" s="144">
        <v>0</v>
      </c>
      <c r="R32" s="136">
        <f t="shared" si="3"/>
        <v>0</v>
      </c>
      <c r="S32" s="537">
        <f t="shared" si="6"/>
        <v>0</v>
      </c>
      <c r="U32" s="110">
        <v>53205060100000</v>
      </c>
      <c r="V32" s="107" t="s">
        <v>28</v>
      </c>
      <c r="W32" s="113">
        <v>1298264.31</v>
      </c>
    </row>
    <row r="33" spans="1:23" ht="12.75" customHeight="1" x14ac:dyDescent="0.2">
      <c r="A33" s="954"/>
      <c r="B33" s="957"/>
      <c r="C33" s="71"/>
      <c r="D33" s="94"/>
      <c r="E33" s="95"/>
      <c r="F33" s="649"/>
      <c r="G33" s="656">
        <v>0</v>
      </c>
      <c r="H33" s="582">
        <v>0</v>
      </c>
      <c r="I33" s="657">
        <v>0</v>
      </c>
      <c r="J33" s="100">
        <f t="shared" si="5"/>
        <v>0</v>
      </c>
      <c r="K33" s="98">
        <f t="shared" si="0"/>
        <v>0</v>
      </c>
      <c r="L33" s="28"/>
      <c r="M33" s="133">
        <v>0</v>
      </c>
      <c r="N33" s="136">
        <f t="shared" si="1"/>
        <v>0</v>
      </c>
      <c r="O33" s="133">
        <v>0</v>
      </c>
      <c r="P33" s="134">
        <f t="shared" si="2"/>
        <v>0</v>
      </c>
      <c r="Q33" s="144">
        <v>0</v>
      </c>
      <c r="R33" s="136">
        <f t="shared" si="3"/>
        <v>0</v>
      </c>
      <c r="S33" s="537">
        <f t="shared" si="6"/>
        <v>0</v>
      </c>
      <c r="U33" s="110">
        <v>53205070100000</v>
      </c>
      <c r="V33" s="107" t="s">
        <v>29</v>
      </c>
      <c r="W33" s="113">
        <v>683971.57500000007</v>
      </c>
    </row>
    <row r="34" spans="1:23" ht="12.75" customHeight="1" thickBot="1" x14ac:dyDescent="0.25">
      <c r="A34" s="954"/>
      <c r="B34" s="958"/>
      <c r="C34" s="103"/>
      <c r="D34" s="91"/>
      <c r="E34" s="92"/>
      <c r="F34" s="650"/>
      <c r="G34" s="658">
        <v>0</v>
      </c>
      <c r="H34" s="282">
        <v>0</v>
      </c>
      <c r="I34" s="659">
        <v>0</v>
      </c>
      <c r="J34" s="222">
        <f t="shared" si="5"/>
        <v>0</v>
      </c>
      <c r="K34" s="96">
        <f t="shared" si="0"/>
        <v>0</v>
      </c>
      <c r="L34" s="28"/>
      <c r="M34" s="138">
        <v>0</v>
      </c>
      <c r="N34" s="137">
        <f t="shared" si="1"/>
        <v>0</v>
      </c>
      <c r="O34" s="138">
        <v>0</v>
      </c>
      <c r="P34" s="147">
        <f t="shared" si="2"/>
        <v>0</v>
      </c>
      <c r="Q34" s="145">
        <v>0</v>
      </c>
      <c r="R34" s="137">
        <f t="shared" si="3"/>
        <v>0</v>
      </c>
      <c r="S34" s="538">
        <f t="shared" si="6"/>
        <v>0</v>
      </c>
      <c r="U34" s="110">
        <v>53208010100000</v>
      </c>
      <c r="V34" s="107" t="s">
        <v>30</v>
      </c>
      <c r="W34" s="113">
        <v>3152150.5050000004</v>
      </c>
    </row>
    <row r="35" spans="1:23" ht="12.75" customHeight="1" x14ac:dyDescent="0.2">
      <c r="A35" s="954"/>
      <c r="B35" s="956" t="s">
        <v>91</v>
      </c>
      <c r="C35" s="692" t="s">
        <v>330</v>
      </c>
      <c r="D35" s="693" t="s">
        <v>331</v>
      </c>
      <c r="E35" s="694" t="s">
        <v>332</v>
      </c>
      <c r="F35" s="695" t="s">
        <v>298</v>
      </c>
      <c r="G35" s="696">
        <v>17557308.25</v>
      </c>
      <c r="H35" s="697">
        <v>159742</v>
      </c>
      <c r="I35" s="698">
        <v>160844</v>
      </c>
      <c r="J35" s="655">
        <f t="shared" si="5"/>
        <v>17877894.25</v>
      </c>
      <c r="K35" s="97">
        <f t="shared" si="0"/>
        <v>18682399.491249997</v>
      </c>
      <c r="L35" s="28"/>
      <c r="M35" s="117">
        <v>0.215</v>
      </c>
      <c r="N35" s="135">
        <f t="shared" si="1"/>
        <v>4016715.8906187494</v>
      </c>
      <c r="O35" s="117">
        <v>6.0999999999999999E-2</v>
      </c>
      <c r="P35" s="146">
        <f t="shared" si="2"/>
        <v>1139626.3689662497</v>
      </c>
      <c r="Q35" s="143">
        <v>0.72399999999999998</v>
      </c>
      <c r="R35" s="135">
        <f t="shared" si="3"/>
        <v>13526057.231664997</v>
      </c>
      <c r="S35" s="536">
        <f t="shared" si="6"/>
        <v>1</v>
      </c>
      <c r="U35" s="110">
        <v>53208070100001</v>
      </c>
      <c r="V35" s="107" t="s">
        <v>31</v>
      </c>
      <c r="W35" s="113">
        <v>891349.09500000009</v>
      </c>
    </row>
    <row r="36" spans="1:23" ht="12.75" customHeight="1" x14ac:dyDescent="0.2">
      <c r="A36" s="954"/>
      <c r="B36" s="957"/>
      <c r="C36" s="71"/>
      <c r="D36" s="94"/>
      <c r="E36" s="95"/>
      <c r="F36" s="649"/>
      <c r="G36" s="656">
        <v>0</v>
      </c>
      <c r="H36" s="582">
        <v>0</v>
      </c>
      <c r="I36" s="657">
        <v>0</v>
      </c>
      <c r="J36" s="100">
        <f t="shared" si="5"/>
        <v>0</v>
      </c>
      <c r="K36" s="98">
        <f t="shared" si="0"/>
        <v>0</v>
      </c>
      <c r="L36" s="28"/>
      <c r="M36" s="133">
        <v>0</v>
      </c>
      <c r="N36" s="136">
        <f t="shared" si="1"/>
        <v>0</v>
      </c>
      <c r="O36" s="133">
        <v>0</v>
      </c>
      <c r="P36" s="134">
        <f t="shared" si="2"/>
        <v>0</v>
      </c>
      <c r="Q36" s="144">
        <v>0</v>
      </c>
      <c r="R36" s="136">
        <f t="shared" si="3"/>
        <v>0</v>
      </c>
      <c r="S36" s="537">
        <f t="shared" si="6"/>
        <v>0</v>
      </c>
      <c r="U36" s="110">
        <v>53208100100001</v>
      </c>
      <c r="V36" s="107" t="s">
        <v>130</v>
      </c>
      <c r="W36" s="113">
        <v>0</v>
      </c>
    </row>
    <row r="37" spans="1:23" ht="12.75" customHeight="1" x14ac:dyDescent="0.2">
      <c r="A37" s="954"/>
      <c r="B37" s="957"/>
      <c r="C37" s="71"/>
      <c r="D37" s="94"/>
      <c r="E37" s="95"/>
      <c r="F37" s="649"/>
      <c r="G37" s="656">
        <v>0</v>
      </c>
      <c r="H37" s="582">
        <v>0</v>
      </c>
      <c r="I37" s="657">
        <v>0</v>
      </c>
      <c r="J37" s="100">
        <f t="shared" si="5"/>
        <v>0</v>
      </c>
      <c r="K37" s="98">
        <f t="shared" si="0"/>
        <v>0</v>
      </c>
      <c r="L37" s="28"/>
      <c r="M37" s="133">
        <v>0</v>
      </c>
      <c r="N37" s="136">
        <f t="shared" si="1"/>
        <v>0</v>
      </c>
      <c r="O37" s="133">
        <v>0</v>
      </c>
      <c r="P37" s="134">
        <f t="shared" si="2"/>
        <v>0</v>
      </c>
      <c r="Q37" s="144">
        <v>0</v>
      </c>
      <c r="R37" s="136">
        <f t="shared" si="3"/>
        <v>0</v>
      </c>
      <c r="S37" s="537">
        <f t="shared" si="6"/>
        <v>0</v>
      </c>
      <c r="U37" s="110">
        <v>53211030000000</v>
      </c>
      <c r="V37" s="107" t="s">
        <v>32</v>
      </c>
      <c r="W37" s="113">
        <v>0</v>
      </c>
    </row>
    <row r="38" spans="1:23" ht="12.75" customHeight="1" x14ac:dyDescent="0.2">
      <c r="A38" s="954"/>
      <c r="B38" s="957"/>
      <c r="C38" s="71"/>
      <c r="D38" s="94"/>
      <c r="E38" s="95"/>
      <c r="F38" s="649"/>
      <c r="G38" s="656">
        <v>0</v>
      </c>
      <c r="H38" s="582">
        <v>0</v>
      </c>
      <c r="I38" s="657">
        <v>0</v>
      </c>
      <c r="J38" s="100">
        <f t="shared" si="5"/>
        <v>0</v>
      </c>
      <c r="K38" s="98">
        <f t="shared" si="0"/>
        <v>0</v>
      </c>
      <c r="L38" s="28"/>
      <c r="M38" s="133">
        <v>0</v>
      </c>
      <c r="N38" s="136">
        <f t="shared" si="1"/>
        <v>0</v>
      </c>
      <c r="O38" s="133">
        <v>0</v>
      </c>
      <c r="P38" s="134">
        <f t="shared" si="2"/>
        <v>0</v>
      </c>
      <c r="Q38" s="144">
        <v>0</v>
      </c>
      <c r="R38" s="136">
        <f t="shared" si="3"/>
        <v>0</v>
      </c>
      <c r="S38" s="537">
        <f t="shared" si="6"/>
        <v>0</v>
      </c>
      <c r="U38" s="110">
        <v>53212020100000</v>
      </c>
      <c r="V38" s="107" t="s">
        <v>98</v>
      </c>
      <c r="W38" s="113">
        <v>9500000</v>
      </c>
    </row>
    <row r="39" spans="1:23" ht="12.75" customHeight="1" thickBot="1" x14ac:dyDescent="0.25">
      <c r="A39" s="954"/>
      <c r="B39" s="958"/>
      <c r="C39" s="103"/>
      <c r="D39" s="91"/>
      <c r="E39" s="92"/>
      <c r="F39" s="650"/>
      <c r="G39" s="658">
        <v>0</v>
      </c>
      <c r="H39" s="282">
        <v>0</v>
      </c>
      <c r="I39" s="659">
        <v>0</v>
      </c>
      <c r="J39" s="222">
        <f t="shared" si="5"/>
        <v>0</v>
      </c>
      <c r="K39" s="96">
        <f t="shared" si="0"/>
        <v>0</v>
      </c>
      <c r="L39" s="28"/>
      <c r="M39" s="138">
        <v>0</v>
      </c>
      <c r="N39" s="137">
        <f t="shared" si="1"/>
        <v>0</v>
      </c>
      <c r="O39" s="138">
        <v>0</v>
      </c>
      <c r="P39" s="147">
        <f t="shared" si="2"/>
        <v>0</v>
      </c>
      <c r="Q39" s="145">
        <v>0</v>
      </c>
      <c r="R39" s="137">
        <f t="shared" si="3"/>
        <v>0</v>
      </c>
      <c r="S39" s="538">
        <f t="shared" si="6"/>
        <v>0</v>
      </c>
      <c r="U39" s="110">
        <v>53214020000000</v>
      </c>
      <c r="V39" s="107" t="s">
        <v>33</v>
      </c>
      <c r="W39" s="113">
        <v>0</v>
      </c>
    </row>
    <row r="40" spans="1:23" ht="12.75" customHeight="1" x14ac:dyDescent="0.2">
      <c r="A40" s="954"/>
      <c r="B40" s="959" t="s">
        <v>119</v>
      </c>
      <c r="C40" s="710" t="s">
        <v>333</v>
      </c>
      <c r="D40" s="711" t="s">
        <v>334</v>
      </c>
      <c r="E40" s="712" t="s">
        <v>314</v>
      </c>
      <c r="F40" s="713" t="s">
        <v>298</v>
      </c>
      <c r="G40" s="696">
        <v>10403393.375</v>
      </c>
      <c r="H40" s="697">
        <v>159742</v>
      </c>
      <c r="I40" s="705">
        <v>160844</v>
      </c>
      <c r="J40" s="660">
        <f>SUM(G40:I40)</f>
        <v>10723979.375</v>
      </c>
      <c r="K40" s="101">
        <f t="shared" si="0"/>
        <v>11206558.446874999</v>
      </c>
      <c r="L40" s="28"/>
      <c r="M40" s="117">
        <v>0.35</v>
      </c>
      <c r="N40" s="135">
        <f t="shared" si="1"/>
        <v>3922295.4564062492</v>
      </c>
      <c r="O40" s="117">
        <v>0.1</v>
      </c>
      <c r="P40" s="146">
        <f t="shared" si="2"/>
        <v>1120655.8446874998</v>
      </c>
      <c r="Q40" s="143">
        <v>0.55000000000000004</v>
      </c>
      <c r="R40" s="135">
        <f t="shared" si="3"/>
        <v>6163607.1457812497</v>
      </c>
      <c r="S40" s="536">
        <f t="shared" si="6"/>
        <v>1</v>
      </c>
      <c r="U40" s="108"/>
      <c r="V40" s="105" t="s">
        <v>34</v>
      </c>
      <c r="W40" s="111">
        <f>SUM(W41,W46,W49,W60,W70,W78)</f>
        <v>33937697.769999996</v>
      </c>
    </row>
    <row r="41" spans="1:23" ht="12.75" customHeight="1" x14ac:dyDescent="0.2">
      <c r="A41" s="954"/>
      <c r="B41" s="960"/>
      <c r="C41" s="714" t="s">
        <v>335</v>
      </c>
      <c r="D41" s="715" t="s">
        <v>336</v>
      </c>
      <c r="E41" s="716" t="s">
        <v>337</v>
      </c>
      <c r="F41" s="717" t="s">
        <v>298</v>
      </c>
      <c r="G41" s="703">
        <v>29230856.375</v>
      </c>
      <c r="H41" s="704">
        <v>159742</v>
      </c>
      <c r="I41" s="705">
        <v>157184</v>
      </c>
      <c r="J41" s="661">
        <f t="shared" ref="J41:J48" si="7">SUM(G41:I41)</f>
        <v>29547782.375</v>
      </c>
      <c r="K41" s="102">
        <f t="shared" si="0"/>
        <v>30877432.581874996</v>
      </c>
      <c r="L41" s="28"/>
      <c r="M41" s="133">
        <v>0.25</v>
      </c>
      <c r="N41" s="136">
        <f t="shared" si="1"/>
        <v>7719358.1454687491</v>
      </c>
      <c r="O41" s="133">
        <v>4.4999999999999998E-2</v>
      </c>
      <c r="P41" s="134">
        <f t="shared" si="2"/>
        <v>1389484.4661843749</v>
      </c>
      <c r="Q41" s="144">
        <v>0.70499999999999996</v>
      </c>
      <c r="R41" s="136">
        <f t="shared" si="3"/>
        <v>21768589.97022187</v>
      </c>
      <c r="S41" s="537">
        <f t="shared" si="6"/>
        <v>1</v>
      </c>
      <c r="U41" s="109"/>
      <c r="V41" s="106" t="s">
        <v>35</v>
      </c>
      <c r="W41" s="112">
        <f>SUM(W42:W45)</f>
        <v>2559465.2550000004</v>
      </c>
    </row>
    <row r="42" spans="1:23" ht="12.75" customHeight="1" x14ac:dyDescent="0.2">
      <c r="A42" s="954"/>
      <c r="B42" s="960"/>
      <c r="C42" s="714" t="s">
        <v>338</v>
      </c>
      <c r="D42" s="715" t="s">
        <v>339</v>
      </c>
      <c r="E42" s="716" t="s">
        <v>340</v>
      </c>
      <c r="F42" s="717" t="s">
        <v>298</v>
      </c>
      <c r="G42" s="703">
        <v>23339339.5</v>
      </c>
      <c r="H42" s="704">
        <v>159742</v>
      </c>
      <c r="I42" s="705">
        <v>157184</v>
      </c>
      <c r="J42" s="661">
        <f t="shared" si="7"/>
        <v>23656265.5</v>
      </c>
      <c r="K42" s="102">
        <f t="shared" si="0"/>
        <v>24720797.447499998</v>
      </c>
      <c r="L42" s="28"/>
      <c r="M42" s="133">
        <v>0.218</v>
      </c>
      <c r="N42" s="136">
        <f t="shared" si="1"/>
        <v>5389133.8435549997</v>
      </c>
      <c r="O42" s="133">
        <v>0.04</v>
      </c>
      <c r="P42" s="134">
        <f t="shared" si="2"/>
        <v>988831.89789999998</v>
      </c>
      <c r="Q42" s="144">
        <v>0.74199999999999999</v>
      </c>
      <c r="R42" s="136">
        <f t="shared" si="3"/>
        <v>18342831.706044998</v>
      </c>
      <c r="S42" s="537">
        <f t="shared" si="6"/>
        <v>1</v>
      </c>
      <c r="U42" s="110">
        <v>53202020100000</v>
      </c>
      <c r="V42" s="107" t="s">
        <v>39</v>
      </c>
      <c r="W42" s="113">
        <v>439440.97499999998</v>
      </c>
    </row>
    <row r="43" spans="1:23" ht="12.75" customHeight="1" x14ac:dyDescent="0.2">
      <c r="A43" s="954"/>
      <c r="B43" s="960"/>
      <c r="C43" s="714" t="s">
        <v>341</v>
      </c>
      <c r="D43" s="715" t="s">
        <v>342</v>
      </c>
      <c r="E43" s="716" t="s">
        <v>343</v>
      </c>
      <c r="F43" s="717" t="s">
        <v>298</v>
      </c>
      <c r="G43" s="703">
        <v>16236124.125</v>
      </c>
      <c r="H43" s="704">
        <v>159742</v>
      </c>
      <c r="I43" s="705">
        <v>157184</v>
      </c>
      <c r="J43" s="661">
        <f t="shared" si="7"/>
        <v>16553050.125</v>
      </c>
      <c r="K43" s="102">
        <f t="shared" si="0"/>
        <v>17297937.380624998</v>
      </c>
      <c r="L43" s="28"/>
      <c r="M43" s="133">
        <v>0.32800000000000001</v>
      </c>
      <c r="N43" s="136">
        <f t="shared" si="1"/>
        <v>5673723.4608450001</v>
      </c>
      <c r="O43" s="133">
        <v>9.9000000000000005E-2</v>
      </c>
      <c r="P43" s="134">
        <f t="shared" si="2"/>
        <v>1712495.8006818749</v>
      </c>
      <c r="Q43" s="144">
        <v>0.57299999999999995</v>
      </c>
      <c r="R43" s="136">
        <f t="shared" si="3"/>
        <v>9911718.1190981232</v>
      </c>
      <c r="S43" s="537">
        <f t="shared" si="6"/>
        <v>1</v>
      </c>
      <c r="U43" s="110">
        <v>53202030000000</v>
      </c>
      <c r="V43" s="107" t="s">
        <v>40</v>
      </c>
      <c r="W43" s="113">
        <v>339441</v>
      </c>
    </row>
    <row r="44" spans="1:23" ht="12.75" customHeight="1" x14ac:dyDescent="0.2">
      <c r="A44" s="954"/>
      <c r="B44" s="960"/>
      <c r="C44" s="72"/>
      <c r="D44" s="74"/>
      <c r="E44" s="75"/>
      <c r="F44" s="651"/>
      <c r="G44" s="687">
        <v>0</v>
      </c>
      <c r="H44" s="683">
        <v>0</v>
      </c>
      <c r="I44" s="657">
        <v>0</v>
      </c>
      <c r="J44" s="661">
        <f t="shared" si="7"/>
        <v>0</v>
      </c>
      <c r="K44" s="102">
        <f t="shared" si="0"/>
        <v>0</v>
      </c>
      <c r="L44" s="28"/>
      <c r="M44" s="133">
        <v>0</v>
      </c>
      <c r="N44" s="136">
        <f t="shared" si="1"/>
        <v>0</v>
      </c>
      <c r="O44" s="133">
        <v>0</v>
      </c>
      <c r="P44" s="134">
        <f t="shared" si="2"/>
        <v>0</v>
      </c>
      <c r="Q44" s="144">
        <v>0</v>
      </c>
      <c r="R44" s="136">
        <f t="shared" si="3"/>
        <v>0</v>
      </c>
      <c r="S44" s="537">
        <f t="shared" si="6"/>
        <v>0</v>
      </c>
      <c r="U44" s="110">
        <v>53211020000000</v>
      </c>
      <c r="V44" s="107" t="s">
        <v>41</v>
      </c>
      <c r="W44" s="113">
        <v>0</v>
      </c>
    </row>
    <row r="45" spans="1:23" ht="12.75" customHeight="1" x14ac:dyDescent="0.2">
      <c r="A45" s="954"/>
      <c r="B45" s="960"/>
      <c r="C45" s="72"/>
      <c r="D45" s="74"/>
      <c r="E45" s="75"/>
      <c r="F45" s="651"/>
      <c r="G45" s="687">
        <v>0</v>
      </c>
      <c r="H45" s="683">
        <v>0</v>
      </c>
      <c r="I45" s="657">
        <v>0</v>
      </c>
      <c r="J45" s="661">
        <f t="shared" si="7"/>
        <v>0</v>
      </c>
      <c r="K45" s="102">
        <f t="shared" si="0"/>
        <v>0</v>
      </c>
      <c r="L45" s="28"/>
      <c r="M45" s="133">
        <v>0</v>
      </c>
      <c r="N45" s="136">
        <f t="shared" si="1"/>
        <v>0</v>
      </c>
      <c r="O45" s="133">
        <v>0</v>
      </c>
      <c r="P45" s="134">
        <f t="shared" si="2"/>
        <v>0</v>
      </c>
      <c r="Q45" s="144">
        <v>0</v>
      </c>
      <c r="R45" s="136">
        <f t="shared" si="3"/>
        <v>0</v>
      </c>
      <c r="S45" s="537">
        <f t="shared" si="6"/>
        <v>0</v>
      </c>
      <c r="U45" s="110">
        <v>53101004030000</v>
      </c>
      <c r="V45" s="107" t="s">
        <v>38</v>
      </c>
      <c r="W45" s="113">
        <v>1780583.2800000003</v>
      </c>
    </row>
    <row r="46" spans="1:23" ht="12.75" customHeight="1" x14ac:dyDescent="0.2">
      <c r="A46" s="954"/>
      <c r="B46" s="960"/>
      <c r="C46" s="72"/>
      <c r="D46" s="74"/>
      <c r="E46" s="75"/>
      <c r="F46" s="651"/>
      <c r="G46" s="656">
        <v>0</v>
      </c>
      <c r="H46" s="582">
        <v>0</v>
      </c>
      <c r="I46" s="657">
        <v>0</v>
      </c>
      <c r="J46" s="661">
        <f t="shared" si="7"/>
        <v>0</v>
      </c>
      <c r="K46" s="102">
        <f t="shared" si="0"/>
        <v>0</v>
      </c>
      <c r="L46" s="28"/>
      <c r="M46" s="133">
        <v>0</v>
      </c>
      <c r="N46" s="136">
        <f t="shared" si="1"/>
        <v>0</v>
      </c>
      <c r="O46" s="133">
        <v>0</v>
      </c>
      <c r="P46" s="134">
        <f t="shared" si="2"/>
        <v>0</v>
      </c>
      <c r="Q46" s="144">
        <v>0</v>
      </c>
      <c r="R46" s="136">
        <f t="shared" si="3"/>
        <v>0</v>
      </c>
      <c r="S46" s="537">
        <f t="shared" si="6"/>
        <v>0</v>
      </c>
      <c r="U46" s="109"/>
      <c r="V46" s="106" t="s">
        <v>42</v>
      </c>
      <c r="W46" s="112">
        <f>SUM(W47:W48)</f>
        <v>380958.48</v>
      </c>
    </row>
    <row r="47" spans="1:23" ht="12.75" customHeight="1" x14ac:dyDescent="0.2">
      <c r="A47" s="954"/>
      <c r="B47" s="960"/>
      <c r="C47" s="72"/>
      <c r="D47" s="74"/>
      <c r="E47" s="75"/>
      <c r="F47" s="651"/>
      <c r="G47" s="656">
        <v>0</v>
      </c>
      <c r="H47" s="582">
        <v>0</v>
      </c>
      <c r="I47" s="657">
        <v>0</v>
      </c>
      <c r="J47" s="661">
        <f t="shared" si="7"/>
        <v>0</v>
      </c>
      <c r="K47" s="102">
        <f t="shared" si="0"/>
        <v>0</v>
      </c>
      <c r="L47" s="28"/>
      <c r="M47" s="133">
        <v>0</v>
      </c>
      <c r="N47" s="136">
        <f t="shared" si="1"/>
        <v>0</v>
      </c>
      <c r="O47" s="133">
        <v>0</v>
      </c>
      <c r="P47" s="134">
        <f t="shared" si="2"/>
        <v>0</v>
      </c>
      <c r="Q47" s="144">
        <v>0</v>
      </c>
      <c r="R47" s="136">
        <f t="shared" si="3"/>
        <v>0</v>
      </c>
      <c r="S47" s="537">
        <f t="shared" si="6"/>
        <v>0</v>
      </c>
      <c r="U47" s="110">
        <v>53205080000000</v>
      </c>
      <c r="V47" s="107" t="s">
        <v>43</v>
      </c>
      <c r="W47" s="113">
        <v>0</v>
      </c>
    </row>
    <row r="48" spans="1:23" ht="12.75" customHeight="1" x14ac:dyDescent="0.2">
      <c r="A48" s="954"/>
      <c r="B48" s="960"/>
      <c r="C48" s="72"/>
      <c r="D48" s="74"/>
      <c r="E48" s="75"/>
      <c r="F48" s="651"/>
      <c r="G48" s="656">
        <v>0</v>
      </c>
      <c r="H48" s="582">
        <v>0</v>
      </c>
      <c r="I48" s="657">
        <v>0</v>
      </c>
      <c r="J48" s="661">
        <f t="shared" si="7"/>
        <v>0</v>
      </c>
      <c r="K48" s="102">
        <f t="shared" si="0"/>
        <v>0</v>
      </c>
      <c r="L48" s="28"/>
      <c r="M48" s="133">
        <v>0</v>
      </c>
      <c r="N48" s="136">
        <f t="shared" si="1"/>
        <v>0</v>
      </c>
      <c r="O48" s="133">
        <v>0</v>
      </c>
      <c r="P48" s="134">
        <f t="shared" si="2"/>
        <v>0</v>
      </c>
      <c r="Q48" s="144">
        <v>0</v>
      </c>
      <c r="R48" s="136">
        <f t="shared" si="3"/>
        <v>0</v>
      </c>
      <c r="S48" s="537">
        <f t="shared" si="6"/>
        <v>0</v>
      </c>
      <c r="U48" s="110">
        <v>53205990000000</v>
      </c>
      <c r="V48" s="107" t="s">
        <v>44</v>
      </c>
      <c r="W48" s="113">
        <v>380958.48</v>
      </c>
    </row>
    <row r="49" spans="1:23" ht="12.75" customHeight="1" x14ac:dyDescent="0.2">
      <c r="A49" s="954"/>
      <c r="B49" s="960"/>
      <c r="C49" s="72"/>
      <c r="D49" s="74"/>
      <c r="E49" s="75"/>
      <c r="F49" s="651"/>
      <c r="G49" s="656">
        <v>0</v>
      </c>
      <c r="H49" s="582">
        <v>0</v>
      </c>
      <c r="I49" s="657">
        <v>0</v>
      </c>
      <c r="J49" s="661">
        <f t="shared" ref="J49:J61" si="8">SUM(G49:I49)</f>
        <v>0</v>
      </c>
      <c r="K49" s="102">
        <f t="shared" si="0"/>
        <v>0</v>
      </c>
      <c r="L49" s="28"/>
      <c r="M49" s="133">
        <v>0</v>
      </c>
      <c r="N49" s="136">
        <f t="shared" si="1"/>
        <v>0</v>
      </c>
      <c r="O49" s="133">
        <v>0</v>
      </c>
      <c r="P49" s="134">
        <f t="shared" si="2"/>
        <v>0</v>
      </c>
      <c r="Q49" s="144">
        <v>0</v>
      </c>
      <c r="R49" s="136">
        <f t="shared" si="3"/>
        <v>0</v>
      </c>
      <c r="S49" s="537">
        <f t="shared" si="6"/>
        <v>0</v>
      </c>
      <c r="U49" s="109"/>
      <c r="V49" s="106" t="s">
        <v>45</v>
      </c>
      <c r="W49" s="112">
        <f>SUM(W50:W59)</f>
        <v>7485335.1300000008</v>
      </c>
    </row>
    <row r="50" spans="1:23" ht="12.75" customHeight="1" x14ac:dyDescent="0.2">
      <c r="A50" s="954"/>
      <c r="B50" s="960"/>
      <c r="C50" s="72"/>
      <c r="D50" s="74"/>
      <c r="E50" s="75"/>
      <c r="F50" s="651"/>
      <c r="G50" s="656">
        <v>0</v>
      </c>
      <c r="H50" s="582">
        <v>0</v>
      </c>
      <c r="I50" s="657">
        <v>0</v>
      </c>
      <c r="J50" s="661">
        <f t="shared" si="8"/>
        <v>0</v>
      </c>
      <c r="K50" s="102">
        <f t="shared" si="0"/>
        <v>0</v>
      </c>
      <c r="L50" s="28"/>
      <c r="M50" s="133">
        <v>0</v>
      </c>
      <c r="N50" s="136">
        <f t="shared" si="1"/>
        <v>0</v>
      </c>
      <c r="O50" s="133">
        <v>0</v>
      </c>
      <c r="P50" s="134">
        <f t="shared" si="2"/>
        <v>0</v>
      </c>
      <c r="Q50" s="144">
        <v>0</v>
      </c>
      <c r="R50" s="136">
        <f t="shared" si="3"/>
        <v>0</v>
      </c>
      <c r="S50" s="537">
        <f t="shared" si="6"/>
        <v>0</v>
      </c>
      <c r="U50" s="110">
        <v>53203010200000</v>
      </c>
      <c r="V50" s="107" t="s">
        <v>46</v>
      </c>
      <c r="W50" s="113">
        <v>0</v>
      </c>
    </row>
    <row r="51" spans="1:23" ht="12.75" customHeight="1" x14ac:dyDescent="0.2">
      <c r="A51" s="954"/>
      <c r="B51" s="960"/>
      <c r="C51" s="72"/>
      <c r="D51" s="74"/>
      <c r="E51" s="75"/>
      <c r="F51" s="651"/>
      <c r="G51" s="656">
        <v>0</v>
      </c>
      <c r="H51" s="582">
        <v>0</v>
      </c>
      <c r="I51" s="657">
        <v>0</v>
      </c>
      <c r="J51" s="661">
        <f t="shared" si="8"/>
        <v>0</v>
      </c>
      <c r="K51" s="102">
        <f t="shared" si="0"/>
        <v>0</v>
      </c>
      <c r="L51" s="28"/>
      <c r="M51" s="133">
        <v>0</v>
      </c>
      <c r="N51" s="136">
        <f t="shared" si="1"/>
        <v>0</v>
      </c>
      <c r="O51" s="133">
        <v>0</v>
      </c>
      <c r="P51" s="134">
        <f t="shared" si="2"/>
        <v>0</v>
      </c>
      <c r="Q51" s="144">
        <v>0</v>
      </c>
      <c r="R51" s="136">
        <f t="shared" si="3"/>
        <v>0</v>
      </c>
      <c r="S51" s="537">
        <f t="shared" si="6"/>
        <v>0</v>
      </c>
      <c r="U51" s="110">
        <v>53204010000000</v>
      </c>
      <c r="V51" s="107" t="s">
        <v>47</v>
      </c>
      <c r="W51" s="113">
        <v>3486878.0100000002</v>
      </c>
    </row>
    <row r="52" spans="1:23" ht="12.75" customHeight="1" x14ac:dyDescent="0.2">
      <c r="A52" s="954"/>
      <c r="B52" s="960"/>
      <c r="C52" s="72"/>
      <c r="D52" s="74"/>
      <c r="E52" s="75"/>
      <c r="F52" s="651"/>
      <c r="G52" s="656">
        <v>0</v>
      </c>
      <c r="H52" s="582">
        <v>0</v>
      </c>
      <c r="I52" s="657">
        <v>0</v>
      </c>
      <c r="J52" s="661">
        <f t="shared" si="8"/>
        <v>0</v>
      </c>
      <c r="K52" s="102">
        <f t="shared" si="0"/>
        <v>0</v>
      </c>
      <c r="L52" s="28"/>
      <c r="M52" s="133">
        <v>0</v>
      </c>
      <c r="N52" s="136">
        <f t="shared" si="1"/>
        <v>0</v>
      </c>
      <c r="O52" s="133">
        <v>0</v>
      </c>
      <c r="P52" s="134">
        <f t="shared" si="2"/>
        <v>0</v>
      </c>
      <c r="Q52" s="144">
        <v>0</v>
      </c>
      <c r="R52" s="136">
        <f t="shared" si="3"/>
        <v>0</v>
      </c>
      <c r="S52" s="537">
        <f t="shared" si="6"/>
        <v>0</v>
      </c>
      <c r="U52" s="110">
        <v>53204040200000</v>
      </c>
      <c r="V52" s="107" t="s">
        <v>48</v>
      </c>
      <c r="W52" s="113">
        <v>0</v>
      </c>
    </row>
    <row r="53" spans="1:23" ht="12.75" customHeight="1" x14ac:dyDescent="0.2">
      <c r="A53" s="954"/>
      <c r="B53" s="960"/>
      <c r="C53" s="72"/>
      <c r="D53" s="74"/>
      <c r="E53" s="75"/>
      <c r="F53" s="651"/>
      <c r="G53" s="656">
        <v>0</v>
      </c>
      <c r="H53" s="582">
        <v>0</v>
      </c>
      <c r="I53" s="657">
        <v>0</v>
      </c>
      <c r="J53" s="661">
        <f t="shared" si="8"/>
        <v>0</v>
      </c>
      <c r="K53" s="102">
        <f t="shared" si="0"/>
        <v>0</v>
      </c>
      <c r="L53" s="28"/>
      <c r="M53" s="133">
        <v>0</v>
      </c>
      <c r="N53" s="136">
        <f t="shared" si="1"/>
        <v>0</v>
      </c>
      <c r="O53" s="133">
        <v>0</v>
      </c>
      <c r="P53" s="134">
        <f t="shared" si="2"/>
        <v>0</v>
      </c>
      <c r="Q53" s="144">
        <v>0</v>
      </c>
      <c r="R53" s="136">
        <f t="shared" si="3"/>
        <v>0</v>
      </c>
      <c r="S53" s="537">
        <f t="shared" si="6"/>
        <v>0</v>
      </c>
      <c r="U53" s="110">
        <v>53204060000000</v>
      </c>
      <c r="V53" s="107" t="s">
        <v>49</v>
      </c>
      <c r="W53" s="113">
        <v>0</v>
      </c>
    </row>
    <row r="54" spans="1:23" ht="12.75" customHeight="1" x14ac:dyDescent="0.2">
      <c r="A54" s="954"/>
      <c r="B54" s="960"/>
      <c r="C54" s="72"/>
      <c r="D54" s="74"/>
      <c r="E54" s="75"/>
      <c r="F54" s="651"/>
      <c r="G54" s="656">
        <v>0</v>
      </c>
      <c r="H54" s="582">
        <v>0</v>
      </c>
      <c r="I54" s="657">
        <v>0</v>
      </c>
      <c r="J54" s="661">
        <f t="shared" si="8"/>
        <v>0</v>
      </c>
      <c r="K54" s="102">
        <f t="shared" si="0"/>
        <v>0</v>
      </c>
      <c r="L54" s="28"/>
      <c r="M54" s="133">
        <v>0</v>
      </c>
      <c r="N54" s="136">
        <f t="shared" si="1"/>
        <v>0</v>
      </c>
      <c r="O54" s="133">
        <v>0</v>
      </c>
      <c r="P54" s="134">
        <f t="shared" si="2"/>
        <v>0</v>
      </c>
      <c r="Q54" s="144">
        <v>0</v>
      </c>
      <c r="R54" s="136">
        <f t="shared" si="3"/>
        <v>0</v>
      </c>
      <c r="S54" s="537">
        <f t="shared" si="6"/>
        <v>0</v>
      </c>
      <c r="U54" s="110">
        <v>53204070000000</v>
      </c>
      <c r="V54" s="107" t="s">
        <v>50</v>
      </c>
      <c r="W54" s="113">
        <v>3998457.12</v>
      </c>
    </row>
    <row r="55" spans="1:23" ht="12.75" customHeight="1" x14ac:dyDescent="0.2">
      <c r="A55" s="954"/>
      <c r="B55" s="960"/>
      <c r="C55" s="72"/>
      <c r="D55" s="74"/>
      <c r="E55" s="75"/>
      <c r="F55" s="651"/>
      <c r="G55" s="656">
        <v>0</v>
      </c>
      <c r="H55" s="582">
        <v>0</v>
      </c>
      <c r="I55" s="657">
        <v>0</v>
      </c>
      <c r="J55" s="661">
        <f t="shared" si="8"/>
        <v>0</v>
      </c>
      <c r="K55" s="102">
        <f t="shared" si="0"/>
        <v>0</v>
      </c>
      <c r="L55" s="28"/>
      <c r="M55" s="133">
        <v>0</v>
      </c>
      <c r="N55" s="136">
        <f t="shared" si="1"/>
        <v>0</v>
      </c>
      <c r="O55" s="133">
        <v>0</v>
      </c>
      <c r="P55" s="134">
        <f t="shared" si="2"/>
        <v>0</v>
      </c>
      <c r="Q55" s="144">
        <v>0</v>
      </c>
      <c r="R55" s="136">
        <f t="shared" si="3"/>
        <v>0</v>
      </c>
      <c r="S55" s="537">
        <f t="shared" si="6"/>
        <v>0</v>
      </c>
      <c r="U55" s="110">
        <v>53204080000000</v>
      </c>
      <c r="V55" s="107" t="s">
        <v>51</v>
      </c>
      <c r="W55" s="113">
        <v>0</v>
      </c>
    </row>
    <row r="56" spans="1:23" ht="12.75" customHeight="1" x14ac:dyDescent="0.2">
      <c r="A56" s="954"/>
      <c r="B56" s="960"/>
      <c r="C56" s="72"/>
      <c r="D56" s="74"/>
      <c r="E56" s="75"/>
      <c r="F56" s="651"/>
      <c r="G56" s="656">
        <v>0</v>
      </c>
      <c r="H56" s="582">
        <v>0</v>
      </c>
      <c r="I56" s="657">
        <v>0</v>
      </c>
      <c r="J56" s="661">
        <f t="shared" si="8"/>
        <v>0</v>
      </c>
      <c r="K56" s="102">
        <f t="shared" si="0"/>
        <v>0</v>
      </c>
      <c r="L56" s="28"/>
      <c r="M56" s="133">
        <v>0</v>
      </c>
      <c r="N56" s="136">
        <f t="shared" si="1"/>
        <v>0</v>
      </c>
      <c r="O56" s="133">
        <v>0</v>
      </c>
      <c r="P56" s="134">
        <f t="shared" si="2"/>
        <v>0</v>
      </c>
      <c r="Q56" s="144">
        <v>0</v>
      </c>
      <c r="R56" s="136">
        <f t="shared" si="3"/>
        <v>0</v>
      </c>
      <c r="S56" s="537">
        <f t="shared" si="6"/>
        <v>0</v>
      </c>
      <c r="U56" s="110">
        <v>53214010000000</v>
      </c>
      <c r="V56" s="107" t="s">
        <v>52</v>
      </c>
      <c r="W56" s="113">
        <v>0</v>
      </c>
    </row>
    <row r="57" spans="1:23" ht="12.75" customHeight="1" x14ac:dyDescent="0.2">
      <c r="A57" s="954"/>
      <c r="B57" s="960"/>
      <c r="C57" s="72"/>
      <c r="D57" s="74"/>
      <c r="E57" s="75"/>
      <c r="F57" s="651"/>
      <c r="G57" s="656">
        <v>0</v>
      </c>
      <c r="H57" s="582">
        <v>0</v>
      </c>
      <c r="I57" s="657">
        <v>0</v>
      </c>
      <c r="J57" s="661">
        <f t="shared" si="8"/>
        <v>0</v>
      </c>
      <c r="K57" s="102">
        <f t="shared" si="0"/>
        <v>0</v>
      </c>
      <c r="L57" s="28"/>
      <c r="M57" s="133">
        <v>0</v>
      </c>
      <c r="N57" s="136">
        <f t="shared" si="1"/>
        <v>0</v>
      </c>
      <c r="O57" s="133">
        <v>0</v>
      </c>
      <c r="P57" s="134">
        <f t="shared" si="2"/>
        <v>0</v>
      </c>
      <c r="Q57" s="144">
        <v>0</v>
      </c>
      <c r="R57" s="136">
        <f t="shared" si="3"/>
        <v>0</v>
      </c>
      <c r="S57" s="537">
        <f t="shared" si="6"/>
        <v>0</v>
      </c>
      <c r="U57" s="110">
        <v>53214040000000</v>
      </c>
      <c r="V57" s="107" t="s">
        <v>131</v>
      </c>
      <c r="W57" s="113">
        <v>0</v>
      </c>
    </row>
    <row r="58" spans="1:23" ht="12.75" customHeight="1" x14ac:dyDescent="0.2">
      <c r="A58" s="954"/>
      <c r="B58" s="960"/>
      <c r="C58" s="72"/>
      <c r="D58" s="74"/>
      <c r="E58" s="75"/>
      <c r="F58" s="651"/>
      <c r="G58" s="656">
        <v>0</v>
      </c>
      <c r="H58" s="582">
        <v>0</v>
      </c>
      <c r="I58" s="657">
        <v>0</v>
      </c>
      <c r="J58" s="661">
        <f t="shared" si="8"/>
        <v>0</v>
      </c>
      <c r="K58" s="102">
        <f t="shared" si="0"/>
        <v>0</v>
      </c>
      <c r="L58" s="28"/>
      <c r="M58" s="133">
        <v>0</v>
      </c>
      <c r="N58" s="136">
        <f t="shared" si="1"/>
        <v>0</v>
      </c>
      <c r="O58" s="133">
        <v>0</v>
      </c>
      <c r="P58" s="134">
        <f t="shared" si="2"/>
        <v>0</v>
      </c>
      <c r="Q58" s="144">
        <v>0</v>
      </c>
      <c r="R58" s="136">
        <f t="shared" si="3"/>
        <v>0</v>
      </c>
      <c r="S58" s="537">
        <f t="shared" si="6"/>
        <v>0</v>
      </c>
      <c r="U58" s="110">
        <v>55201010100004</v>
      </c>
      <c r="V58" s="107" t="s">
        <v>53</v>
      </c>
      <c r="W58" s="113">
        <v>0</v>
      </c>
    </row>
    <row r="59" spans="1:23" ht="12.75" customHeight="1" x14ac:dyDescent="0.2">
      <c r="A59" s="954"/>
      <c r="B59" s="960"/>
      <c r="C59" s="72"/>
      <c r="D59" s="74"/>
      <c r="E59" s="75"/>
      <c r="F59" s="651"/>
      <c r="G59" s="656">
        <v>0</v>
      </c>
      <c r="H59" s="582">
        <v>0</v>
      </c>
      <c r="I59" s="657">
        <v>0</v>
      </c>
      <c r="J59" s="661">
        <f t="shared" si="8"/>
        <v>0</v>
      </c>
      <c r="K59" s="102">
        <f t="shared" si="0"/>
        <v>0</v>
      </c>
      <c r="L59" s="28"/>
      <c r="M59" s="133">
        <v>0</v>
      </c>
      <c r="N59" s="136">
        <f t="shared" si="1"/>
        <v>0</v>
      </c>
      <c r="O59" s="133">
        <v>0</v>
      </c>
      <c r="P59" s="134">
        <f t="shared" si="2"/>
        <v>0</v>
      </c>
      <c r="Q59" s="144">
        <v>0</v>
      </c>
      <c r="R59" s="136">
        <f t="shared" si="3"/>
        <v>0</v>
      </c>
      <c r="S59" s="537">
        <f t="shared" si="6"/>
        <v>0</v>
      </c>
      <c r="U59" s="110">
        <v>55201010100005</v>
      </c>
      <c r="V59" s="107" t="s">
        <v>54</v>
      </c>
      <c r="W59" s="113">
        <v>0</v>
      </c>
    </row>
    <row r="60" spans="1:23" ht="12.75" customHeight="1" x14ac:dyDescent="0.2">
      <c r="A60" s="954"/>
      <c r="B60" s="960"/>
      <c r="C60" s="72"/>
      <c r="D60" s="74"/>
      <c r="E60" s="75"/>
      <c r="F60" s="651"/>
      <c r="G60" s="656">
        <v>0</v>
      </c>
      <c r="H60" s="582">
        <v>0</v>
      </c>
      <c r="I60" s="657">
        <v>0</v>
      </c>
      <c r="J60" s="661">
        <f t="shared" si="8"/>
        <v>0</v>
      </c>
      <c r="K60" s="102">
        <f t="shared" si="0"/>
        <v>0</v>
      </c>
      <c r="L60" s="28"/>
      <c r="M60" s="133">
        <v>0</v>
      </c>
      <c r="N60" s="136">
        <f t="shared" si="1"/>
        <v>0</v>
      </c>
      <c r="O60" s="133">
        <v>0</v>
      </c>
      <c r="P60" s="134">
        <f t="shared" si="2"/>
        <v>0</v>
      </c>
      <c r="Q60" s="144">
        <v>0</v>
      </c>
      <c r="R60" s="136">
        <f t="shared" si="3"/>
        <v>0</v>
      </c>
      <c r="S60" s="537">
        <f t="shared" si="6"/>
        <v>0</v>
      </c>
      <c r="U60" s="109"/>
      <c r="V60" s="106" t="s">
        <v>55</v>
      </c>
      <c r="W60" s="112">
        <f>SUM(W61:W69)</f>
        <v>8758646.7149999999</v>
      </c>
    </row>
    <row r="61" spans="1:23" ht="12.75" customHeight="1" thickBot="1" x14ac:dyDescent="0.25">
      <c r="A61" s="955"/>
      <c r="B61" s="961"/>
      <c r="C61" s="103"/>
      <c r="D61" s="91"/>
      <c r="E61" s="92"/>
      <c r="F61" s="650"/>
      <c r="G61" s="662">
        <v>0</v>
      </c>
      <c r="H61" s="663">
        <v>0</v>
      </c>
      <c r="I61" s="664">
        <v>0</v>
      </c>
      <c r="J61" s="665">
        <f t="shared" si="8"/>
        <v>0</v>
      </c>
      <c r="K61" s="96">
        <f t="shared" si="0"/>
        <v>0</v>
      </c>
      <c r="L61" s="28"/>
      <c r="M61" s="138">
        <v>0</v>
      </c>
      <c r="N61" s="137">
        <f t="shared" si="1"/>
        <v>0</v>
      </c>
      <c r="O61" s="138">
        <v>0</v>
      </c>
      <c r="P61" s="147">
        <f t="shared" si="2"/>
        <v>0</v>
      </c>
      <c r="Q61" s="145">
        <v>0</v>
      </c>
      <c r="R61" s="137">
        <f t="shared" si="3"/>
        <v>0</v>
      </c>
      <c r="S61" s="538">
        <f t="shared" si="6"/>
        <v>0</v>
      </c>
      <c r="U61" s="110">
        <v>53207010000000</v>
      </c>
      <c r="V61" s="107" t="s">
        <v>56</v>
      </c>
      <c r="W61" s="113">
        <v>0</v>
      </c>
    </row>
    <row r="62" spans="1:23" ht="12.75" customHeight="1" thickBot="1" x14ac:dyDescent="0.25">
      <c r="K62" s="205">
        <f>SUM(K15:K61)</f>
        <v>323394121.75427496</v>
      </c>
      <c r="M62" s="206">
        <f>+IFERROR((N62/$K$62),0)</f>
        <v>0.32176618788206579</v>
      </c>
      <c r="N62" s="207">
        <f>SUM(N15:N61)</f>
        <v>104057293.74034169</v>
      </c>
      <c r="O62" s="206">
        <f>+IFERROR((P62/$K$62),0)</f>
        <v>9.6606988375987246E-2</v>
      </c>
      <c r="P62" s="207">
        <f>SUM(P15:P61)</f>
        <v>31242132.161177848</v>
      </c>
      <c r="Q62" s="206">
        <f>+IFERROR((R62/$K$62),0)</f>
        <v>0.58162682374194707</v>
      </c>
      <c r="R62" s="207">
        <f>SUM(R15:R61)</f>
        <v>188094695.85275546</v>
      </c>
      <c r="U62" s="110">
        <v>53207020000000</v>
      </c>
      <c r="V62" s="107" t="s">
        <v>57</v>
      </c>
      <c r="W62" s="113">
        <v>480284.7</v>
      </c>
    </row>
    <row r="63" spans="1:23" ht="12.75" customHeight="1" x14ac:dyDescent="0.2">
      <c r="K63" s="66">
        <v>1</v>
      </c>
      <c r="R63" s="31"/>
      <c r="U63" s="110">
        <v>53208020000000</v>
      </c>
      <c r="V63" s="107" t="s">
        <v>58</v>
      </c>
      <c r="W63" s="113">
        <v>0</v>
      </c>
    </row>
    <row r="64" spans="1:23" ht="12.75" customHeight="1" thickBot="1" x14ac:dyDescent="0.25">
      <c r="U64" s="110">
        <v>53208990000000</v>
      </c>
      <c r="V64" s="107" t="s">
        <v>59</v>
      </c>
      <c r="W64" s="113">
        <v>3867308.5500000003</v>
      </c>
    </row>
    <row r="65" spans="1:23" ht="12.75" customHeight="1" x14ac:dyDescent="0.2">
      <c r="A65" s="947" t="s">
        <v>138</v>
      </c>
      <c r="B65" s="950" t="s">
        <v>121</v>
      </c>
      <c r="C65" s="208"/>
      <c r="D65" s="173"/>
      <c r="E65" s="209"/>
      <c r="F65" s="93" t="s">
        <v>120</v>
      </c>
      <c r="G65" s="174">
        <v>0</v>
      </c>
      <c r="H65" s="174">
        <v>0</v>
      </c>
      <c r="I65" s="99">
        <v>0</v>
      </c>
      <c r="J65" s="210">
        <f>SUM(G65:I65)</f>
        <v>0</v>
      </c>
      <c r="K65" s="97">
        <f>+J65*(1+$K$11)</f>
        <v>0</v>
      </c>
      <c r="L65" s="28"/>
      <c r="U65" s="110">
        <v>53209010000000</v>
      </c>
      <c r="V65" s="107" t="s">
        <v>60</v>
      </c>
      <c r="W65" s="113">
        <v>0</v>
      </c>
    </row>
    <row r="66" spans="1:23" ht="12.75" customHeight="1" x14ac:dyDescent="0.2">
      <c r="A66" s="948"/>
      <c r="B66" s="951"/>
      <c r="C66" s="73"/>
      <c r="D66" s="211"/>
      <c r="E66" s="212"/>
      <c r="F66" s="213" t="s">
        <v>120</v>
      </c>
      <c r="G66" s="132">
        <v>0</v>
      </c>
      <c r="H66" s="132">
        <v>0</v>
      </c>
      <c r="I66" s="214">
        <v>0</v>
      </c>
      <c r="J66" s="215">
        <f>SUM(G66:I66)</f>
        <v>0</v>
      </c>
      <c r="K66" s="98">
        <f>+J66*(1+$K$11)</f>
        <v>0</v>
      </c>
      <c r="L66" s="28"/>
      <c r="U66" s="110">
        <v>53209040000000</v>
      </c>
      <c r="V66" s="107" t="s">
        <v>61</v>
      </c>
      <c r="W66" s="113">
        <v>0</v>
      </c>
    </row>
    <row r="67" spans="1:23" x14ac:dyDescent="0.2">
      <c r="A67" s="948"/>
      <c r="B67" s="951"/>
      <c r="C67" s="73"/>
      <c r="D67" s="211"/>
      <c r="E67" s="212"/>
      <c r="F67" s="213" t="s">
        <v>120</v>
      </c>
      <c r="G67" s="132">
        <v>0</v>
      </c>
      <c r="H67" s="132">
        <v>0</v>
      </c>
      <c r="I67" s="214">
        <v>0</v>
      </c>
      <c r="J67" s="215">
        <f>SUM(G67:I67)</f>
        <v>0</v>
      </c>
      <c r="K67" s="98">
        <f>+J67*(1+$K$11)</f>
        <v>0</v>
      </c>
      <c r="L67" s="28"/>
      <c r="U67" s="110">
        <v>53209050000000</v>
      </c>
      <c r="V67" s="107" t="s">
        <v>62</v>
      </c>
      <c r="W67" s="113">
        <v>3506012.1600000001</v>
      </c>
    </row>
    <row r="68" spans="1:23" x14ac:dyDescent="0.2">
      <c r="A68" s="948"/>
      <c r="B68" s="951"/>
      <c r="C68" s="216"/>
      <c r="D68" s="172"/>
      <c r="E68" s="217"/>
      <c r="F68" s="218" t="s">
        <v>120</v>
      </c>
      <c r="G68" s="132">
        <v>0</v>
      </c>
      <c r="H68" s="132">
        <v>0</v>
      </c>
      <c r="I68" s="214">
        <v>0</v>
      </c>
      <c r="J68" s="215">
        <f>SUM(G68:I68)</f>
        <v>0</v>
      </c>
      <c r="K68" s="98">
        <f>+J68*(1+$K$11)</f>
        <v>0</v>
      </c>
      <c r="L68" s="28"/>
      <c r="U68" s="110">
        <v>53209990000000</v>
      </c>
      <c r="V68" s="107" t="s">
        <v>63</v>
      </c>
      <c r="W68" s="113">
        <v>0</v>
      </c>
    </row>
    <row r="69" spans="1:23" ht="13.5" thickBot="1" x14ac:dyDescent="0.25">
      <c r="A69" s="949"/>
      <c r="B69" s="952"/>
      <c r="C69" s="181"/>
      <c r="D69" s="175"/>
      <c r="E69" s="219"/>
      <c r="F69" s="220" t="s">
        <v>120</v>
      </c>
      <c r="G69" s="176">
        <v>0</v>
      </c>
      <c r="H69" s="176">
        <v>0</v>
      </c>
      <c r="I69" s="221">
        <v>0</v>
      </c>
      <c r="J69" s="222">
        <f>SUM(G69:I69)</f>
        <v>0</v>
      </c>
      <c r="K69" s="96">
        <f>+J69*(1+$K$11)</f>
        <v>0</v>
      </c>
      <c r="L69" s="28"/>
      <c r="U69" s="110">
        <v>53210020100000</v>
      </c>
      <c r="V69" s="107" t="s">
        <v>64</v>
      </c>
      <c r="W69" s="113">
        <v>905041.30500000005</v>
      </c>
    </row>
    <row r="70" spans="1:23" ht="16.5" thickBot="1" x14ac:dyDescent="0.25">
      <c r="C70" s="21"/>
      <c r="D70" s="21"/>
      <c r="E70" s="31"/>
      <c r="F70" s="31"/>
      <c r="G70" s="31"/>
      <c r="H70" s="31"/>
      <c r="I70" s="31"/>
      <c r="K70" s="205">
        <f>SUM(K65:K69)</f>
        <v>0</v>
      </c>
      <c r="L70" s="28"/>
      <c r="U70" s="109"/>
      <c r="V70" s="106" t="s">
        <v>65</v>
      </c>
      <c r="W70" s="112">
        <f>SUM(W71:W77)</f>
        <v>5281266.7949999999</v>
      </c>
    </row>
    <row r="71" spans="1:23" x14ac:dyDescent="0.2">
      <c r="K71" s="66">
        <v>1</v>
      </c>
      <c r="L71" s="28"/>
      <c r="M71" s="32"/>
      <c r="O71" s="32"/>
      <c r="Q71" s="32"/>
      <c r="U71" s="110">
        <v>53206030000000</v>
      </c>
      <c r="V71" s="107" t="s">
        <v>99</v>
      </c>
      <c r="W71" s="113">
        <v>0</v>
      </c>
    </row>
    <row r="72" spans="1:23" ht="15.75" customHeight="1" x14ac:dyDescent="0.2">
      <c r="H72" s="104"/>
      <c r="U72" s="110">
        <v>53206040000000</v>
      </c>
      <c r="V72" s="107" t="s">
        <v>100</v>
      </c>
      <c r="W72" s="113">
        <v>0</v>
      </c>
    </row>
    <row r="73" spans="1:23" x14ac:dyDescent="0.2">
      <c r="U73" s="110">
        <v>53206060000000</v>
      </c>
      <c r="V73" s="107" t="s">
        <v>101</v>
      </c>
      <c r="W73" s="113">
        <v>0</v>
      </c>
    </row>
    <row r="74" spans="1:23" x14ac:dyDescent="0.2">
      <c r="U74" s="110">
        <v>53206070000000</v>
      </c>
      <c r="V74" s="107" t="s">
        <v>102</v>
      </c>
      <c r="W74" s="113">
        <v>0</v>
      </c>
    </row>
    <row r="75" spans="1:23" x14ac:dyDescent="0.2">
      <c r="U75" s="110">
        <v>53206990000000</v>
      </c>
      <c r="V75" s="107" t="s">
        <v>103</v>
      </c>
      <c r="W75" s="113">
        <v>781333.45499999996</v>
      </c>
    </row>
    <row r="76" spans="1:23" x14ac:dyDescent="0.2">
      <c r="U76" s="110">
        <v>53208030000000</v>
      </c>
      <c r="V76" s="107" t="s">
        <v>104</v>
      </c>
      <c r="W76" s="113">
        <v>0</v>
      </c>
    </row>
    <row r="77" spans="1:23" x14ac:dyDescent="0.2">
      <c r="U77" s="110">
        <v>53212060000000</v>
      </c>
      <c r="V77" s="107" t="s">
        <v>97</v>
      </c>
      <c r="W77" s="113">
        <v>4499933.34</v>
      </c>
    </row>
    <row r="78" spans="1:23" x14ac:dyDescent="0.2">
      <c r="U78" s="109"/>
      <c r="V78" s="106" t="s">
        <v>66</v>
      </c>
      <c r="W78" s="112">
        <f>SUM(W79:W79)</f>
        <v>9472025.3949999996</v>
      </c>
    </row>
    <row r="79" spans="1:23" x14ac:dyDescent="0.2">
      <c r="U79" s="110">
        <v>53204999000000</v>
      </c>
      <c r="V79" s="107" t="s">
        <v>96</v>
      </c>
      <c r="W79" s="113">
        <f>4301440.395+5170585</f>
        <v>9472025.3949999996</v>
      </c>
    </row>
    <row r="80" spans="1:23" ht="15.75" customHeight="1" x14ac:dyDescent="0.2">
      <c r="U80" s="114"/>
      <c r="V80" s="115" t="s">
        <v>141</v>
      </c>
      <c r="W80" s="116">
        <f>+W40+W15</f>
        <v>81228572.354999989</v>
      </c>
    </row>
    <row r="94" spans="11:12" x14ac:dyDescent="0.2">
      <c r="L94" s="118"/>
    </row>
    <row r="96" spans="11:12" x14ac:dyDescent="0.2">
      <c r="K96" s="130"/>
    </row>
    <row r="98" spans="11:11" x14ac:dyDescent="0.2">
      <c r="K98" s="119"/>
    </row>
  </sheetData>
  <sheetProtection algorithmName="SHA-512" hashValue="QLuPNVMGN832WehCcD+Rqsm/a/Osn8W8U8vW63vcGOb9SwqDqmu+W/NQlq2lW5FVmumtsGrPb/sHKCzwbmTfiQ==" saltValue="riuhqOjlTea02s6cewuUEA==" spinCount="100000" sheet="1"/>
  <mergeCells count="43">
    <mergeCell ref="AR13:AS13"/>
    <mergeCell ref="AP13:AQ13"/>
    <mergeCell ref="AN13:AO13"/>
    <mergeCell ref="AG13:AH13"/>
    <mergeCell ref="AN15:AO15"/>
    <mergeCell ref="AP14:AQ14"/>
    <mergeCell ref="AP15:AQ15"/>
    <mergeCell ref="AR14:AS14"/>
    <mergeCell ref="AR15:AS15"/>
    <mergeCell ref="AI13:AJ13"/>
    <mergeCell ref="AK13:AL13"/>
    <mergeCell ref="AN14:AO14"/>
    <mergeCell ref="Z13:AA13"/>
    <mergeCell ref="AB13:AC13"/>
    <mergeCell ref="AD13:AE13"/>
    <mergeCell ref="S13:S14"/>
    <mergeCell ref="Q13:R13"/>
    <mergeCell ref="A13:B14"/>
    <mergeCell ref="C13:C14"/>
    <mergeCell ref="D13:D14"/>
    <mergeCell ref="AN9:AS10"/>
    <mergeCell ref="M9:S10"/>
    <mergeCell ref="AG9:AL10"/>
    <mergeCell ref="Z9:AE10"/>
    <mergeCell ref="W13:W14"/>
    <mergeCell ref="M12:R12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K13:K14"/>
    <mergeCell ref="M13:N13"/>
    <mergeCell ref="O13:P13"/>
    <mergeCell ref="E13:E14"/>
    <mergeCell ref="F13:F14"/>
    <mergeCell ref="G13:J13"/>
  </mergeCells>
  <conditionalFormatting sqref="S15:S61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2060"/>
    <pageSetUpPr fitToPage="1"/>
  </sheetPr>
  <dimension ref="A1:IK16"/>
  <sheetViews>
    <sheetView showGridLines="0" zoomScale="80" zoomScaleNormal="80" workbookViewId="0">
      <selection activeCell="F35" sqref="F35"/>
    </sheetView>
  </sheetViews>
  <sheetFormatPr baseColWidth="10" defaultRowHeight="12.75" x14ac:dyDescent="0.2"/>
  <cols>
    <col min="1" max="1" width="43.5703125" style="2" customWidth="1"/>
    <col min="2" max="2" width="23.42578125" style="2" bestFit="1" customWidth="1"/>
    <col min="3" max="3" width="14.140625" style="2" customWidth="1"/>
    <col min="4" max="4" width="14.140625" style="2" bestFit="1" customWidth="1"/>
    <col min="5" max="5" width="16.140625" style="2" customWidth="1"/>
    <col min="6" max="9" width="14.140625" style="2" customWidth="1"/>
    <col min="10" max="10" width="15.7109375" style="2" customWidth="1"/>
    <col min="11" max="14" width="14.140625" style="2" customWidth="1"/>
    <col min="15" max="15" width="15.28515625" style="2" customWidth="1"/>
    <col min="16" max="17" width="14.140625" style="2" customWidth="1"/>
    <col min="18" max="18" width="13.28515625" style="2" customWidth="1"/>
    <col min="19" max="19" width="14.140625" style="2" bestFit="1" customWidth="1"/>
    <col min="20" max="20" width="16.42578125" style="2" customWidth="1"/>
    <col min="21" max="21" width="12.28515625" style="2" customWidth="1"/>
    <col min="22" max="16384" width="11.42578125" style="2"/>
  </cols>
  <sheetData>
    <row r="1" spans="1:245" s="4" customFormat="1" x14ac:dyDescent="0.2">
      <c r="B1" s="3"/>
      <c r="G1" s="33" t="s">
        <v>206</v>
      </c>
      <c r="IJ1" s="2"/>
      <c r="IK1" s="2"/>
    </row>
    <row r="2" spans="1:245" s="4" customFormat="1" x14ac:dyDescent="0.2">
      <c r="B2" s="5"/>
      <c r="G2" s="33" t="s">
        <v>198</v>
      </c>
      <c r="IJ2" s="2"/>
      <c r="IK2" s="2"/>
    </row>
    <row r="3" spans="1:245" s="4" customFormat="1" x14ac:dyDescent="0.2">
      <c r="B3" s="2"/>
      <c r="IJ3" s="2"/>
      <c r="IK3" s="2"/>
    </row>
    <row r="4" spans="1:245" s="4" customFormat="1" ht="17.25" customHeight="1" x14ac:dyDescent="0.2">
      <c r="B4" s="2"/>
      <c r="C4" s="6"/>
      <c r="F4" s="6" t="s">
        <v>0</v>
      </c>
      <c r="G4" s="990" t="str">
        <f>+'B) Reajuste Tarifas y Ocupación'!F5</f>
        <v>(DEPTO./DELEG.)</v>
      </c>
      <c r="H4" s="991"/>
      <c r="I4" s="6"/>
      <c r="J4" s="6"/>
      <c r="K4" s="6"/>
      <c r="L4" s="6"/>
      <c r="M4" s="6"/>
      <c r="N4" s="6"/>
      <c r="O4" s="6"/>
      <c r="P4" s="6"/>
      <c r="Q4" s="6"/>
      <c r="IA4" s="2"/>
      <c r="IB4" s="2"/>
      <c r="IC4" s="2"/>
      <c r="ID4" s="2"/>
      <c r="IE4" s="2"/>
      <c r="IF4" s="2"/>
    </row>
    <row r="5" spans="1:245" s="4" customFormat="1" x14ac:dyDescent="0.2">
      <c r="B5" s="2"/>
      <c r="C5" s="6"/>
      <c r="F5" s="6"/>
      <c r="G5" s="33"/>
      <c r="H5" s="33"/>
      <c r="I5" s="6"/>
      <c r="J5" s="6"/>
      <c r="K5" s="6"/>
      <c r="L5" s="6"/>
      <c r="M5" s="6"/>
      <c r="N5" s="6"/>
      <c r="O5" s="6"/>
      <c r="P5" s="6"/>
      <c r="Q5" s="6"/>
      <c r="IA5" s="2"/>
      <c r="IB5" s="2"/>
      <c r="IC5" s="2"/>
      <c r="ID5" s="2"/>
      <c r="IE5" s="2"/>
      <c r="IF5" s="2"/>
    </row>
    <row r="6" spans="1:245" s="4" customFormat="1" ht="15.75" x14ac:dyDescent="0.2">
      <c r="A6" s="828" t="s">
        <v>159</v>
      </c>
      <c r="B6" s="828"/>
      <c r="C6" s="828"/>
      <c r="D6" s="828"/>
      <c r="E6" s="89"/>
      <c r="F6" s="6"/>
      <c r="G6" s="33"/>
      <c r="H6" s="33"/>
      <c r="I6" s="6"/>
      <c r="J6" s="6"/>
      <c r="K6" s="6"/>
      <c r="L6" s="6"/>
      <c r="M6" s="6"/>
      <c r="N6" s="6"/>
      <c r="O6" s="6"/>
      <c r="P6" s="6"/>
      <c r="Q6" s="6"/>
      <c r="IA6" s="2"/>
      <c r="IB6" s="2"/>
      <c r="IC6" s="2"/>
      <c r="ID6" s="2"/>
      <c r="IE6" s="2"/>
      <c r="IF6" s="2"/>
    </row>
    <row r="7" spans="1:245" s="4" customFormat="1" ht="13.5" thickBot="1" x14ac:dyDescent="0.25"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HX7" s="2"/>
      <c r="HY7" s="2"/>
      <c r="HZ7" s="2"/>
      <c r="IA7" s="2"/>
      <c r="IB7" s="2"/>
      <c r="IC7" s="2"/>
      <c r="ID7" s="2"/>
      <c r="IE7" s="2"/>
      <c r="IF7" s="2"/>
    </row>
    <row r="8" spans="1:245" ht="16.5" customHeight="1" x14ac:dyDescent="0.2">
      <c r="A8" s="999" t="s">
        <v>114</v>
      </c>
      <c r="B8" s="1001" t="s">
        <v>5</v>
      </c>
      <c r="C8" s="998" t="s">
        <v>261</v>
      </c>
      <c r="D8" s="880"/>
      <c r="E8" s="880"/>
      <c r="F8" s="880"/>
      <c r="G8" s="881"/>
      <c r="H8" s="992" t="s">
        <v>256</v>
      </c>
      <c r="I8" s="993"/>
      <c r="J8" s="993"/>
      <c r="K8" s="993"/>
      <c r="L8" s="994"/>
      <c r="M8" s="995" t="s">
        <v>124</v>
      </c>
      <c r="N8" s="996"/>
      <c r="O8" s="996"/>
      <c r="P8" s="996"/>
      <c r="Q8" s="997"/>
      <c r="R8" s="995" t="s">
        <v>125</v>
      </c>
      <c r="S8" s="996"/>
      <c r="T8" s="996"/>
      <c r="U8" s="996"/>
      <c r="V8" s="997"/>
    </row>
    <row r="9" spans="1:245" ht="71.25" customHeight="1" thickBot="1" x14ac:dyDescent="0.25">
      <c r="A9" s="1000" t="e">
        <f>NA()</f>
        <v>#N/A</v>
      </c>
      <c r="B9" s="1002" t="e">
        <f>NA()</f>
        <v>#N/A</v>
      </c>
      <c r="C9" s="417" t="s">
        <v>86</v>
      </c>
      <c r="D9" s="411" t="s">
        <v>136</v>
      </c>
      <c r="E9" s="411" t="s">
        <v>137</v>
      </c>
      <c r="F9" s="411" t="s">
        <v>87</v>
      </c>
      <c r="G9" s="418" t="s">
        <v>88</v>
      </c>
      <c r="H9" s="423" t="s">
        <v>86</v>
      </c>
      <c r="I9" s="412" t="s">
        <v>136</v>
      </c>
      <c r="J9" s="412" t="s">
        <v>137</v>
      </c>
      <c r="K9" s="412" t="s">
        <v>87</v>
      </c>
      <c r="L9" s="413" t="s">
        <v>88</v>
      </c>
      <c r="M9" s="423" t="s">
        <v>86</v>
      </c>
      <c r="N9" s="412" t="s">
        <v>136</v>
      </c>
      <c r="O9" s="412" t="s">
        <v>137</v>
      </c>
      <c r="P9" s="412" t="s">
        <v>87</v>
      </c>
      <c r="Q9" s="413" t="s">
        <v>88</v>
      </c>
      <c r="R9" s="423" t="s">
        <v>86</v>
      </c>
      <c r="S9" s="412" t="s">
        <v>136</v>
      </c>
      <c r="T9" s="412" t="s">
        <v>137</v>
      </c>
      <c r="U9" s="412" t="s">
        <v>87</v>
      </c>
      <c r="V9" s="413" t="s">
        <v>88</v>
      </c>
    </row>
    <row r="10" spans="1:245" ht="19.5" customHeight="1" x14ac:dyDescent="0.2">
      <c r="A10" s="1003" t="str">
        <f>+'B) Reajuste Tarifas y Ocupación'!A12</f>
        <v>Jardín Infantil Tortuguita Marina</v>
      </c>
      <c r="B10" s="414" t="str">
        <f>+'B) Reajuste Tarifas y Ocupación'!B12</f>
        <v>Media jornada</v>
      </c>
      <c r="C10" s="541">
        <f>+'B) Reajuste Tarifas y Ocupación'!M12</f>
        <v>98200</v>
      </c>
      <c r="D10" s="402">
        <f>+'B) Reajuste Tarifas y Ocupación'!N12</f>
        <v>132500</v>
      </c>
      <c r="E10" s="402">
        <f>+'B) Reajuste Tarifas y Ocupación'!O12</f>
        <v>137400</v>
      </c>
      <c r="F10" s="402">
        <f>+'B) Reajuste Tarifas y Ocupación'!P12</f>
        <v>133900</v>
      </c>
      <c r="G10" s="542">
        <f>+'B) Reajuste Tarifas y Ocupación'!Q12</f>
        <v>170200</v>
      </c>
      <c r="H10" s="545">
        <f>+'B) Reajuste Tarifas y Ocupación'!C12</f>
        <v>93900</v>
      </c>
      <c r="I10" s="403">
        <f>+'B) Reajuste Tarifas y Ocupación'!D12</f>
        <v>126700</v>
      </c>
      <c r="J10" s="403">
        <f>+'B) Reajuste Tarifas y Ocupación'!E12</f>
        <v>131400</v>
      </c>
      <c r="K10" s="403">
        <f>+'B) Reajuste Tarifas y Ocupación'!F12</f>
        <v>128100</v>
      </c>
      <c r="L10" s="424">
        <f>+'B) Reajuste Tarifas y Ocupación'!G12</f>
        <v>162800</v>
      </c>
      <c r="M10" s="544">
        <f t="shared" ref="M10:Q11" si="0">C10-H10</f>
        <v>4300</v>
      </c>
      <c r="N10" s="404">
        <f t="shared" si="0"/>
        <v>5800</v>
      </c>
      <c r="O10" s="404">
        <f t="shared" si="0"/>
        <v>6000</v>
      </c>
      <c r="P10" s="404">
        <f t="shared" si="0"/>
        <v>5800</v>
      </c>
      <c r="Q10" s="554">
        <f t="shared" si="0"/>
        <v>7400</v>
      </c>
      <c r="R10" s="555">
        <f>+'B) Reajuste Tarifas y Ocupación'!H12</f>
        <v>4.4999999999999998E-2</v>
      </c>
      <c r="S10" s="405">
        <f>+'B) Reajuste Tarifas y Ocupación'!I12</f>
        <v>4.4999999999999998E-2</v>
      </c>
      <c r="T10" s="405">
        <f>+'B) Reajuste Tarifas y Ocupación'!J12</f>
        <v>4.4999999999999998E-2</v>
      </c>
      <c r="U10" s="405">
        <f>+'B) Reajuste Tarifas y Ocupación'!K12</f>
        <v>4.4999999999999998E-2</v>
      </c>
      <c r="V10" s="406">
        <f>+'B) Reajuste Tarifas y Ocupación'!L12</f>
        <v>4.4999999999999998E-2</v>
      </c>
    </row>
    <row r="11" spans="1:245" ht="19.5" customHeight="1" thickBot="1" x14ac:dyDescent="0.25">
      <c r="A11" s="1004"/>
      <c r="B11" s="415" t="str">
        <f>+'B) Reajuste Tarifas y Ocupación'!B13</f>
        <v xml:space="preserve">Doble Jornada </v>
      </c>
      <c r="C11" s="420">
        <f>+'B) Reajuste Tarifas y Ocupación'!M13</f>
        <v>124700</v>
      </c>
      <c r="D11" s="407">
        <f>+'B) Reajuste Tarifas y Ocupación'!N13</f>
        <v>168400</v>
      </c>
      <c r="E11" s="407">
        <f>+'B) Reajuste Tarifas y Ocupación'!O13</f>
        <v>174600</v>
      </c>
      <c r="F11" s="407">
        <f>+'B) Reajuste Tarifas y Ocupación'!P13</f>
        <v>187000</v>
      </c>
      <c r="G11" s="543">
        <f>+'B) Reajuste Tarifas y Ocupación'!Q13</f>
        <v>249100</v>
      </c>
      <c r="H11" s="425">
        <f>+'B) Reajuste Tarifas y Ocupación'!C13</f>
        <v>119300</v>
      </c>
      <c r="I11" s="546">
        <f>+'B) Reajuste Tarifas y Ocupación'!D13</f>
        <v>161000</v>
      </c>
      <c r="J11" s="546">
        <f>+'B) Reajuste Tarifas y Ocupación'!E13</f>
        <v>167000</v>
      </c>
      <c r="K11" s="546">
        <f>+'B) Reajuste Tarifas y Ocupación'!F13</f>
        <v>178900</v>
      </c>
      <c r="L11" s="547">
        <f>+'B) Reajuste Tarifas y Ocupación'!G13</f>
        <v>238300</v>
      </c>
      <c r="M11" s="561">
        <f t="shared" si="0"/>
        <v>5400</v>
      </c>
      <c r="N11" s="562">
        <f t="shared" si="0"/>
        <v>7400</v>
      </c>
      <c r="O11" s="562">
        <f t="shared" si="0"/>
        <v>7600</v>
      </c>
      <c r="P11" s="562">
        <f t="shared" si="0"/>
        <v>8100</v>
      </c>
      <c r="Q11" s="563">
        <f t="shared" si="0"/>
        <v>10800</v>
      </c>
      <c r="R11" s="564">
        <f>+'B) Reajuste Tarifas y Ocupación'!H13</f>
        <v>4.4999999999999998E-2</v>
      </c>
      <c r="S11" s="565">
        <f>+'B) Reajuste Tarifas y Ocupación'!I13</f>
        <v>4.4999999999999998E-2</v>
      </c>
      <c r="T11" s="565">
        <f>+'B) Reajuste Tarifas y Ocupación'!J13</f>
        <v>4.4999999999999998E-2</v>
      </c>
      <c r="U11" s="565">
        <f>+'B) Reajuste Tarifas y Ocupación'!K13</f>
        <v>4.4999999999999998E-2</v>
      </c>
      <c r="V11" s="566">
        <f>+'B) Reajuste Tarifas y Ocupación'!L13</f>
        <v>4.4999999999999998E-2</v>
      </c>
    </row>
    <row r="12" spans="1:245" ht="19.5" customHeight="1" x14ac:dyDescent="0.2">
      <c r="A12" s="1003" t="str">
        <f>+'B) Reajuste Tarifas y Ocupación'!A14</f>
        <v>Jardín Infantil Burbujitas de Mar</v>
      </c>
      <c r="B12" s="414" t="str">
        <f>+'B) Reajuste Tarifas y Ocupación'!B14</f>
        <v>Media jornada</v>
      </c>
      <c r="C12" s="539">
        <f>+'B) Reajuste Tarifas y Ocupación'!M14</f>
        <v>135500</v>
      </c>
      <c r="D12" s="540">
        <f>+'B) Reajuste Tarifas y Ocupación'!N14</f>
        <v>182900</v>
      </c>
      <c r="E12" s="540">
        <f>+'B) Reajuste Tarifas y Ocupación'!O14</f>
        <v>189700</v>
      </c>
      <c r="F12" s="540">
        <f>+'B) Reajuste Tarifas y Ocupación'!P14</f>
        <v>169400</v>
      </c>
      <c r="G12" s="556">
        <f>+'B) Reajuste Tarifas y Ocupación'!Q14</f>
        <v>203200</v>
      </c>
      <c r="H12" s="557">
        <f>+'B) Reajuste Tarifas y Ocupación'!C14</f>
        <v>129600</v>
      </c>
      <c r="I12" s="558">
        <f>+'B) Reajuste Tarifas y Ocupación'!D14</f>
        <v>175000</v>
      </c>
      <c r="J12" s="558">
        <f>+'B) Reajuste Tarifas y Ocupación'!E14</f>
        <v>181500</v>
      </c>
      <c r="K12" s="558">
        <f>+'B) Reajuste Tarifas y Ocupación'!F14</f>
        <v>162100</v>
      </c>
      <c r="L12" s="560">
        <f>+'B) Reajuste Tarifas y Ocupación'!G14</f>
        <v>194400</v>
      </c>
      <c r="M12" s="553">
        <f t="shared" ref="M12:Q14" si="1">C12-H12</f>
        <v>5900</v>
      </c>
      <c r="N12" s="404">
        <f t="shared" si="1"/>
        <v>7900</v>
      </c>
      <c r="O12" s="404">
        <f t="shared" si="1"/>
        <v>8200</v>
      </c>
      <c r="P12" s="404">
        <f t="shared" si="1"/>
        <v>7300</v>
      </c>
      <c r="Q12" s="554">
        <f t="shared" si="1"/>
        <v>8800</v>
      </c>
      <c r="R12" s="555">
        <f>+'B) Reajuste Tarifas y Ocupación'!H14</f>
        <v>4.4999999999999998E-2</v>
      </c>
      <c r="S12" s="405">
        <f>+'B) Reajuste Tarifas y Ocupación'!I14</f>
        <v>4.4999999999999998E-2</v>
      </c>
      <c r="T12" s="405">
        <f>+'B) Reajuste Tarifas y Ocupación'!J14</f>
        <v>4.4999999999999998E-2</v>
      </c>
      <c r="U12" s="405">
        <f>+'B) Reajuste Tarifas y Ocupación'!K14</f>
        <v>4.4999999999999998E-2</v>
      </c>
      <c r="V12" s="406">
        <f>+'B) Reajuste Tarifas y Ocupación'!L14</f>
        <v>4.4999999999999998E-2</v>
      </c>
    </row>
    <row r="13" spans="1:245" ht="19.5" customHeight="1" thickBot="1" x14ac:dyDescent="0.25">
      <c r="A13" s="1004"/>
      <c r="B13" s="415" t="str">
        <f>+'B) Reajuste Tarifas y Ocupación'!B15</f>
        <v>Jornada  Completa</v>
      </c>
      <c r="C13" s="433">
        <f>+'B) Reajuste Tarifas y Ocupación'!M15</f>
        <v>212500</v>
      </c>
      <c r="D13" s="434">
        <f>+'B) Reajuste Tarifas y Ocupación'!N15</f>
        <v>286900</v>
      </c>
      <c r="E13" s="434">
        <f>+'B) Reajuste Tarifas y Ocupación'!O15</f>
        <v>297500</v>
      </c>
      <c r="F13" s="434">
        <f>+'B) Reajuste Tarifas y Ocupación'!P15</f>
        <v>265700</v>
      </c>
      <c r="G13" s="435">
        <f>+'B) Reajuste Tarifas y Ocupación'!Q15</f>
        <v>318800</v>
      </c>
      <c r="H13" s="567">
        <f>+'B) Reajuste Tarifas y Ocupación'!C15</f>
        <v>203300</v>
      </c>
      <c r="I13" s="568">
        <f>+'B) Reajuste Tarifas y Ocupación'!D15</f>
        <v>274500</v>
      </c>
      <c r="J13" s="568">
        <f>+'B) Reajuste Tarifas y Ocupación'!E15</f>
        <v>284600</v>
      </c>
      <c r="K13" s="568">
        <f>+'B) Reajuste Tarifas y Ocupación'!F15</f>
        <v>254200</v>
      </c>
      <c r="L13" s="569">
        <f>+'B) Reajuste Tarifas y Ocupación'!G15</f>
        <v>305000</v>
      </c>
      <c r="M13" s="570">
        <f t="shared" si="1"/>
        <v>9200</v>
      </c>
      <c r="N13" s="562">
        <f t="shared" si="1"/>
        <v>12400</v>
      </c>
      <c r="O13" s="562">
        <f t="shared" si="1"/>
        <v>12900</v>
      </c>
      <c r="P13" s="562">
        <f t="shared" si="1"/>
        <v>11500</v>
      </c>
      <c r="Q13" s="563">
        <f t="shared" si="1"/>
        <v>13800</v>
      </c>
      <c r="R13" s="564">
        <f>+'B) Reajuste Tarifas y Ocupación'!H15</f>
        <v>4.4999999999999998E-2</v>
      </c>
      <c r="S13" s="565">
        <f>+'B) Reajuste Tarifas y Ocupación'!I15</f>
        <v>4.4999999999999998E-2</v>
      </c>
      <c r="T13" s="565">
        <f>+'B) Reajuste Tarifas y Ocupación'!J15</f>
        <v>4.4999999999999998E-2</v>
      </c>
      <c r="U13" s="565">
        <f>+'B) Reajuste Tarifas y Ocupación'!K15</f>
        <v>4.4999999999999998E-2</v>
      </c>
      <c r="V13" s="566">
        <f>+'B) Reajuste Tarifas y Ocupación'!L15</f>
        <v>4.4999999999999998E-2</v>
      </c>
    </row>
    <row r="14" spans="1:245" ht="19.5" customHeight="1" x14ac:dyDescent="0.2">
      <c r="A14" s="1003" t="str">
        <f>+'B) Reajuste Tarifas y Ocupación'!A19</f>
        <v>Sala Cuna Burbujitas de Mar</v>
      </c>
      <c r="B14" s="414" t="str">
        <f>+'B) Reajuste Tarifas y Ocupación'!B19</f>
        <v>Jornada Completa Diurna</v>
      </c>
      <c r="C14" s="541">
        <f>+'B) Reajuste Tarifas y Ocupación'!M19</f>
        <v>437600</v>
      </c>
      <c r="D14" s="402">
        <f>+'B) Reajuste Tarifas y Ocupación'!N19</f>
        <v>590800</v>
      </c>
      <c r="E14" s="402">
        <f>+'B) Reajuste Tarifas y Ocupación'!O19</f>
        <v>612700</v>
      </c>
      <c r="F14" s="402">
        <f>+'B) Reajuste Tarifas y Ocupación'!P19</f>
        <v>547000</v>
      </c>
      <c r="G14" s="419">
        <f>+'B) Reajuste Tarifas y Ocupación'!Q19</f>
        <v>656300</v>
      </c>
      <c r="H14" s="545">
        <f>+'B) Reajuste Tarifas y Ocupación'!C19</f>
        <v>397800</v>
      </c>
      <c r="I14" s="403">
        <f>+'B) Reajuste Tarifas y Ocupación'!D19</f>
        <v>537000</v>
      </c>
      <c r="J14" s="403">
        <f>+'B) Reajuste Tarifas y Ocupación'!E19</f>
        <v>556900</v>
      </c>
      <c r="K14" s="403">
        <f>+'B) Reajuste Tarifas y Ocupación'!F19</f>
        <v>497200</v>
      </c>
      <c r="L14" s="548">
        <f>+'B) Reajuste Tarifas y Ocupación'!G19</f>
        <v>596600</v>
      </c>
      <c r="M14" s="553">
        <f t="shared" si="1"/>
        <v>39800</v>
      </c>
      <c r="N14" s="404">
        <f t="shared" si="1"/>
        <v>53800</v>
      </c>
      <c r="O14" s="404">
        <f t="shared" si="1"/>
        <v>55800</v>
      </c>
      <c r="P14" s="404">
        <f t="shared" si="1"/>
        <v>49800</v>
      </c>
      <c r="Q14" s="426">
        <f t="shared" si="1"/>
        <v>59700</v>
      </c>
      <c r="R14" s="550">
        <f>+'B) Reajuste Tarifas y Ocupación'!H19</f>
        <v>0.1</v>
      </c>
      <c r="S14" s="405">
        <f>+'B) Reajuste Tarifas y Ocupación'!I19</f>
        <v>0.1</v>
      </c>
      <c r="T14" s="405">
        <f>+'B) Reajuste Tarifas y Ocupación'!J19</f>
        <v>0.1</v>
      </c>
      <c r="U14" s="405">
        <f>+'B) Reajuste Tarifas y Ocupación'!K19</f>
        <v>0.1</v>
      </c>
      <c r="V14" s="406">
        <f>+'B) Reajuste Tarifas y Ocupación'!L19</f>
        <v>0.1</v>
      </c>
    </row>
    <row r="15" spans="1:245" ht="19.5" customHeight="1" x14ac:dyDescent="0.2">
      <c r="A15" s="1005"/>
      <c r="B15" s="416" t="str">
        <f>+'B) Reajuste Tarifas y Ocupación'!B20</f>
        <v>Nocturna</v>
      </c>
      <c r="C15" s="571">
        <f>+'B) Reajuste Tarifas y Ocupación'!M20</f>
        <v>353000</v>
      </c>
      <c r="D15" s="573"/>
      <c r="E15" s="573"/>
      <c r="F15" s="573"/>
      <c r="G15" s="422"/>
      <c r="H15" s="559">
        <f>+'B) Reajuste Tarifas y Ocupación'!C20</f>
        <v>320900</v>
      </c>
      <c r="I15" s="574"/>
      <c r="J15" s="574"/>
      <c r="K15" s="574"/>
      <c r="L15" s="575"/>
      <c r="M15" s="428">
        <f>C15-H15</f>
        <v>32100</v>
      </c>
      <c r="N15" s="576"/>
      <c r="O15" s="576"/>
      <c r="P15" s="576"/>
      <c r="Q15" s="577"/>
      <c r="R15" s="572">
        <f>+'B) Reajuste Tarifas y Ocupación'!H20</f>
        <v>0.1</v>
      </c>
      <c r="S15" s="578"/>
      <c r="T15" s="578"/>
      <c r="U15" s="578"/>
      <c r="V15" s="579"/>
    </row>
    <row r="16" spans="1:245" ht="19.5" customHeight="1" thickBot="1" x14ac:dyDescent="0.25">
      <c r="A16" s="1004"/>
      <c r="B16" s="415" t="str">
        <f>+'B) Reajuste Tarifas y Ocupación'!B21</f>
        <v>Media Jornada</v>
      </c>
      <c r="C16" s="420">
        <f>+'B) Reajuste Tarifas y Ocupación'!M21</f>
        <v>262800</v>
      </c>
      <c r="D16" s="407">
        <f>+'B) Reajuste Tarifas y Ocupación'!N21</f>
        <v>354800</v>
      </c>
      <c r="E16" s="407">
        <f>+'B) Reajuste Tarifas y Ocupación'!O21</f>
        <v>368000</v>
      </c>
      <c r="F16" s="407">
        <f>+'B) Reajuste Tarifas y Ocupación'!P21</f>
        <v>394000</v>
      </c>
      <c r="G16" s="421">
        <f>+'B) Reajuste Tarifas y Ocupación'!Q21</f>
        <v>525200</v>
      </c>
      <c r="H16" s="425">
        <f>+'B) Reajuste Tarifas y Ocupación'!C21</f>
        <v>238900</v>
      </c>
      <c r="I16" s="546">
        <f>+'B) Reajuste Tarifas y Ocupación'!D21</f>
        <v>322600</v>
      </c>
      <c r="J16" s="546">
        <f>+'B) Reajuste Tarifas y Ocupación'!E21</f>
        <v>334500</v>
      </c>
      <c r="K16" s="546">
        <f>+'B) Reajuste Tarifas y Ocupación'!F21</f>
        <v>358100</v>
      </c>
      <c r="L16" s="549">
        <f>+'B) Reajuste Tarifas y Ocupación'!G21</f>
        <v>477400</v>
      </c>
      <c r="M16" s="427">
        <f>C16-H16</f>
        <v>23900</v>
      </c>
      <c r="N16" s="408">
        <f>D16-I16</f>
        <v>32200</v>
      </c>
      <c r="O16" s="408">
        <f>E16-J16</f>
        <v>33500</v>
      </c>
      <c r="P16" s="408">
        <f>F16-K16</f>
        <v>35900</v>
      </c>
      <c r="Q16" s="429">
        <f>G16-L16</f>
        <v>47800</v>
      </c>
      <c r="R16" s="551">
        <f>+'B) Reajuste Tarifas y Ocupación'!H21</f>
        <v>0.1</v>
      </c>
      <c r="S16" s="409">
        <f>+'B) Reajuste Tarifas y Ocupación'!I21</f>
        <v>0.1</v>
      </c>
      <c r="T16" s="409">
        <f>+'B) Reajuste Tarifas y Ocupación'!J21</f>
        <v>0.1</v>
      </c>
      <c r="U16" s="409">
        <f>+'B) Reajuste Tarifas y Ocupación'!K21</f>
        <v>0.1</v>
      </c>
      <c r="V16" s="410">
        <f>+'B) Reajuste Tarifas y Ocupación'!L21</f>
        <v>0.1</v>
      </c>
    </row>
  </sheetData>
  <sheetProtection algorithmName="SHA-512" hashValue="u7/nkGRlTqMwCWZFCFb03ijFm9JFWkNG6uVc1/Fimnm8anxzu/d53l+4j3gdjn/zqOmILrAfHyibB2EZNouziQ==" saltValue="8XvvcDo5SimXrYWGOKS3Kw==" spinCount="100000" sheet="1"/>
  <mergeCells count="11">
    <mergeCell ref="A12:A13"/>
    <mergeCell ref="A10:A11"/>
    <mergeCell ref="R8:V8"/>
    <mergeCell ref="A14:A16"/>
    <mergeCell ref="G4:H4"/>
    <mergeCell ref="H8:L8"/>
    <mergeCell ref="M8:Q8"/>
    <mergeCell ref="C8:G8"/>
    <mergeCell ref="A6:D6"/>
    <mergeCell ref="A8:A9"/>
    <mergeCell ref="B8:B9"/>
  </mergeCells>
  <conditionalFormatting sqref="M10:Q16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C000"/>
  </sheetPr>
  <dimension ref="B1:IV66"/>
  <sheetViews>
    <sheetView showGridLines="0" zoomScale="80" zoomScaleNormal="80" workbookViewId="0">
      <selection activeCell="D33" sqref="D33"/>
    </sheetView>
  </sheetViews>
  <sheetFormatPr baseColWidth="10" defaultRowHeight="12.75" x14ac:dyDescent="0.2"/>
  <cols>
    <col min="1" max="1" width="7.140625" style="23" customWidth="1"/>
    <col min="2" max="2" width="37.28515625" style="23" customWidth="1"/>
    <col min="3" max="3" width="28" style="23" customWidth="1"/>
    <col min="4" max="4" width="24.140625" style="23" customWidth="1"/>
    <col min="5" max="5" width="25.140625" style="23" customWidth="1"/>
    <col min="6" max="6" width="28.140625" style="23" bestFit="1" customWidth="1"/>
    <col min="7" max="8" width="14.85546875" style="23" customWidth="1"/>
    <col min="9" max="9" width="15" style="23" customWidth="1"/>
    <col min="10" max="10" width="15.140625" style="23" customWidth="1"/>
    <col min="11" max="11" width="19.140625" style="23" customWidth="1"/>
    <col min="12" max="12" width="24.28515625" style="23" customWidth="1"/>
    <col min="13" max="13" width="16.140625" style="23" customWidth="1"/>
    <col min="14" max="14" width="17.140625" style="23" customWidth="1"/>
    <col min="15" max="15" width="14.85546875" style="23" customWidth="1"/>
    <col min="16" max="16" width="17.7109375" style="23" customWidth="1"/>
    <col min="17" max="17" width="17.140625" style="23" customWidth="1"/>
    <col min="18" max="18" width="18.140625" style="23" customWidth="1"/>
    <col min="19" max="19" width="16.28515625" style="23" customWidth="1"/>
    <col min="20" max="20" width="15.85546875" style="23" customWidth="1"/>
    <col min="21" max="21" width="14.85546875" style="23" customWidth="1"/>
    <col min="22" max="22" width="15.85546875" style="23" customWidth="1"/>
    <col min="23" max="23" width="14.28515625" style="23" customWidth="1"/>
    <col min="24" max="24" width="14.85546875" style="23" customWidth="1"/>
    <col min="25" max="25" width="14.140625" style="23" customWidth="1"/>
    <col min="26" max="26" width="16.85546875" style="23" customWidth="1"/>
    <col min="27" max="27" width="17.5703125" style="23" customWidth="1"/>
    <col min="28" max="28" width="15.28515625" style="23" customWidth="1"/>
    <col min="29" max="29" width="19.7109375" style="23" customWidth="1"/>
    <col min="30" max="30" width="17.42578125" style="23" customWidth="1"/>
    <col min="31" max="31" width="12" style="23" customWidth="1"/>
    <col min="32" max="16384" width="11.42578125" style="23"/>
  </cols>
  <sheetData>
    <row r="1" spans="2:248" s="4" customFormat="1" x14ac:dyDescent="0.2">
      <c r="E1" s="33" t="s">
        <v>207</v>
      </c>
      <c r="F1" s="33"/>
      <c r="G1" s="33"/>
      <c r="H1" s="33"/>
      <c r="I1" s="33"/>
      <c r="J1" s="33"/>
      <c r="IM1" s="2"/>
      <c r="IN1" s="2"/>
    </row>
    <row r="2" spans="2:248" s="4" customFormat="1" x14ac:dyDescent="0.2">
      <c r="E2" s="33" t="s">
        <v>199</v>
      </c>
      <c r="F2" s="33"/>
      <c r="G2" s="33"/>
      <c r="H2" s="33"/>
      <c r="I2" s="33"/>
      <c r="J2" s="33"/>
      <c r="IM2" s="2"/>
      <c r="IN2" s="2"/>
    </row>
    <row r="3" spans="2:248" s="4" customFormat="1" x14ac:dyDescent="0.2">
      <c r="B3" s="19"/>
      <c r="ID3" s="2"/>
      <c r="IE3" s="2"/>
      <c r="IF3" s="2"/>
      <c r="IG3" s="2"/>
      <c r="IH3" s="2"/>
      <c r="II3" s="2"/>
    </row>
    <row r="4" spans="2:248" s="4" customFormat="1" ht="18.75" customHeight="1" x14ac:dyDescent="0.2">
      <c r="B4" s="19"/>
      <c r="D4" s="87" t="s">
        <v>0</v>
      </c>
      <c r="E4" s="131" t="str">
        <f>+'B) Reajuste Tarifas y Ocupación'!F5</f>
        <v>(DEPTO./DELEG.)</v>
      </c>
      <c r="F4" s="58"/>
      <c r="G4" s="59"/>
      <c r="H4" s="59"/>
      <c r="I4" s="59"/>
      <c r="J4" s="59"/>
      <c r="N4" s="1"/>
      <c r="ID4" s="2"/>
      <c r="IE4" s="2"/>
      <c r="IF4" s="2"/>
      <c r="IG4" s="2"/>
      <c r="IH4" s="2"/>
      <c r="II4" s="2"/>
    </row>
    <row r="5" spans="2:248" s="4" customFormat="1" x14ac:dyDescent="0.2">
      <c r="B5" s="19"/>
      <c r="D5" s="6"/>
      <c r="E5" s="33"/>
      <c r="F5" s="33"/>
      <c r="G5" s="33"/>
      <c r="H5" s="33"/>
      <c r="I5" s="33"/>
      <c r="J5" s="33"/>
      <c r="N5" s="1"/>
      <c r="ID5" s="2"/>
      <c r="IE5" s="2"/>
      <c r="IF5" s="2"/>
      <c r="IG5" s="2"/>
      <c r="IH5" s="2"/>
      <c r="II5" s="2"/>
    </row>
    <row r="6" spans="2:248" s="4" customFormat="1" x14ac:dyDescent="0.2">
      <c r="B6" s="19"/>
      <c r="D6" s="6"/>
      <c r="E6" s="33"/>
      <c r="F6" s="33"/>
      <c r="G6" s="33"/>
      <c r="H6" s="33"/>
      <c r="I6" s="33"/>
      <c r="J6" s="60" t="s">
        <v>4</v>
      </c>
      <c r="K6" s="61">
        <v>4.4999999999999998E-2</v>
      </c>
      <c r="N6" s="1"/>
      <c r="ID6" s="2"/>
      <c r="IE6" s="2"/>
      <c r="IF6" s="2"/>
      <c r="IG6" s="2"/>
      <c r="IH6" s="2"/>
      <c r="II6" s="2"/>
    </row>
    <row r="7" spans="2:248" s="4" customFormat="1" ht="15.75" x14ac:dyDescent="0.2">
      <c r="B7" s="867" t="s">
        <v>160</v>
      </c>
      <c r="C7" s="867"/>
      <c r="D7" s="867"/>
      <c r="E7" s="867"/>
      <c r="F7" s="88"/>
      <c r="I7" s="88"/>
      <c r="J7" s="88"/>
      <c r="N7" s="1"/>
      <c r="ID7" s="2"/>
      <c r="IE7" s="2"/>
      <c r="IF7" s="2"/>
      <c r="IG7" s="2"/>
      <c r="IH7" s="2"/>
      <c r="II7" s="2"/>
    </row>
    <row r="8" spans="2:248" ht="13.5" thickBot="1" x14ac:dyDescent="0.25"/>
    <row r="9" spans="2:248" ht="15" customHeight="1" x14ac:dyDescent="0.2">
      <c r="B9" s="981" t="s">
        <v>114</v>
      </c>
      <c r="C9" s="1013" t="s">
        <v>73</v>
      </c>
      <c r="D9" s="967" t="s">
        <v>74</v>
      </c>
      <c r="E9" s="940" t="s">
        <v>3</v>
      </c>
      <c r="F9" s="942" t="s">
        <v>81</v>
      </c>
      <c r="G9" s="944" t="s">
        <v>263</v>
      </c>
      <c r="H9" s="945"/>
      <c r="I9" s="945"/>
      <c r="J9" s="945"/>
      <c r="K9" s="934" t="s">
        <v>265</v>
      </c>
      <c r="L9" s="1015" t="s">
        <v>115</v>
      </c>
      <c r="O9" s="22"/>
      <c r="P9" s="22"/>
      <c r="Q9" s="22"/>
      <c r="R9" s="22"/>
      <c r="S9" s="22"/>
      <c r="T9" s="22"/>
    </row>
    <row r="10" spans="2:248" ht="50.25" customHeight="1" thickBot="1" x14ac:dyDescent="0.25">
      <c r="B10" s="982"/>
      <c r="C10" s="1014"/>
      <c r="D10" s="968"/>
      <c r="E10" s="941"/>
      <c r="F10" s="943"/>
      <c r="G10" s="666" t="s">
        <v>218</v>
      </c>
      <c r="H10" s="667" t="s">
        <v>116</v>
      </c>
      <c r="I10" s="667" t="s">
        <v>117</v>
      </c>
      <c r="J10" s="672" t="s">
        <v>264</v>
      </c>
      <c r="K10" s="935"/>
      <c r="L10" s="1016"/>
      <c r="M10"/>
      <c r="N10" s="47"/>
      <c r="O10" s="47"/>
      <c r="P10" s="17"/>
      <c r="Q10" s="17"/>
      <c r="R10" s="17"/>
      <c r="S10"/>
      <c r="T10" s="1012"/>
      <c r="U10" s="1012"/>
      <c r="V10" s="1012"/>
      <c r="W10" s="1012"/>
      <c r="X10"/>
    </row>
    <row r="11" spans="2:248" x14ac:dyDescent="0.2">
      <c r="B11" s="1006" t="str">
        <f>+'B) Reajuste Tarifas y Ocupación'!A12</f>
        <v>Jardín Infantil Tortuguita Marina</v>
      </c>
      <c r="C11" s="584" t="s">
        <v>448</v>
      </c>
      <c r="D11" s="584" t="s">
        <v>267</v>
      </c>
      <c r="E11" s="668" t="s">
        <v>429</v>
      </c>
      <c r="F11" s="669" t="s">
        <v>209</v>
      </c>
      <c r="G11" s="653">
        <v>13166684.375</v>
      </c>
      <c r="H11" s="683">
        <f>53000+106742</f>
        <v>159742</v>
      </c>
      <c r="I11" s="654">
        <f>78592+78592</f>
        <v>157184</v>
      </c>
      <c r="J11" s="686">
        <f>SUM(G11:I11)</f>
        <v>13483610.375</v>
      </c>
      <c r="K11" s="673">
        <f>+J11*(1+$K$6)</f>
        <v>14090372.841875</v>
      </c>
      <c r="L11" s="1009">
        <f>SUM(K11:K18)</f>
        <v>28821296.19875</v>
      </c>
      <c r="M11"/>
      <c r="N11" s="47"/>
      <c r="O11" s="47"/>
      <c r="P11" s="17"/>
      <c r="Q11" s="17"/>
      <c r="R11" s="17"/>
      <c r="S11"/>
      <c r="T11" s="90"/>
      <c r="U11" s="90"/>
      <c r="V11" s="90"/>
      <c r="W11" s="90"/>
      <c r="X11"/>
    </row>
    <row r="12" spans="2:248" x14ac:dyDescent="0.2">
      <c r="B12" s="1007"/>
      <c r="C12" s="680" t="s">
        <v>268</v>
      </c>
      <c r="D12" s="680" t="s">
        <v>269</v>
      </c>
      <c r="E12" s="681" t="s">
        <v>275</v>
      </c>
      <c r="F12" s="682" t="s">
        <v>209</v>
      </c>
      <c r="G12" s="687">
        <v>10199378.375</v>
      </c>
      <c r="H12" s="683">
        <f>53000+106742</f>
        <v>159742</v>
      </c>
      <c r="I12" s="683">
        <f>80422+80422</f>
        <v>160844</v>
      </c>
      <c r="J12" s="688">
        <f>SUM(G12:I12)</f>
        <v>10519964.375</v>
      </c>
      <c r="K12" s="684">
        <f t="shared" ref="K12:K26" si="0">+J12*(1+$K$6)</f>
        <v>10993362.771875</v>
      </c>
      <c r="L12" s="1010"/>
      <c r="M12"/>
      <c r="N12" s="47"/>
      <c r="O12" s="47"/>
      <c r="P12" s="17"/>
      <c r="Q12" s="17"/>
      <c r="R12" s="17"/>
      <c r="S12"/>
      <c r="T12" s="90"/>
      <c r="U12" s="90"/>
      <c r="V12" s="90"/>
      <c r="W12" s="90"/>
      <c r="X12"/>
    </row>
    <row r="13" spans="2:248" x14ac:dyDescent="0.2">
      <c r="B13" s="1007"/>
      <c r="C13" s="680" t="s">
        <v>270</v>
      </c>
      <c r="D13" s="680" t="s">
        <v>271</v>
      </c>
      <c r="E13" s="681" t="s">
        <v>272</v>
      </c>
      <c r="F13" s="682" t="s">
        <v>209</v>
      </c>
      <c r="G13" s="687">
        <v>3096618</v>
      </c>
      <c r="H13" s="683">
        <f>106000+213484</f>
        <v>319484</v>
      </c>
      <c r="I13" s="683">
        <f>80422+80089</f>
        <v>160511</v>
      </c>
      <c r="J13" s="688">
        <f t="shared" ref="J13:J26" si="1">SUM(G13:I13)</f>
        <v>3576613</v>
      </c>
      <c r="K13" s="684">
        <f t="shared" si="0"/>
        <v>3737560.585</v>
      </c>
      <c r="L13" s="1010"/>
      <c r="M13"/>
      <c r="N13" s="47"/>
      <c r="O13" s="47"/>
      <c r="P13" s="17"/>
      <c r="Q13" s="17"/>
      <c r="R13" s="17"/>
      <c r="S13"/>
      <c r="T13" s="90"/>
      <c r="U13" s="90"/>
      <c r="V13" s="90"/>
      <c r="W13" s="90"/>
      <c r="X13"/>
    </row>
    <row r="14" spans="2:248" x14ac:dyDescent="0.2">
      <c r="B14" s="1007"/>
      <c r="C14" s="680" t="s">
        <v>450</v>
      </c>
      <c r="D14" s="681" t="s">
        <v>420</v>
      </c>
      <c r="E14" s="681" t="s">
        <v>421</v>
      </c>
      <c r="F14" s="682" t="s">
        <v>209</v>
      </c>
      <c r="G14" s="687">
        <v>0</v>
      </c>
      <c r="H14" s="683">
        <v>0</v>
      </c>
      <c r="I14" s="683">
        <v>0</v>
      </c>
      <c r="J14" s="688">
        <f t="shared" si="1"/>
        <v>0</v>
      </c>
      <c r="K14" s="684">
        <f t="shared" si="0"/>
        <v>0</v>
      </c>
      <c r="L14" s="1010"/>
      <c r="M14"/>
      <c r="N14" s="47"/>
      <c r="O14" s="47"/>
      <c r="P14" s="17"/>
      <c r="Q14" s="17"/>
      <c r="R14" s="17"/>
      <c r="S14"/>
      <c r="T14" s="90"/>
      <c r="U14" s="90"/>
      <c r="V14" s="90"/>
      <c r="W14" s="90"/>
      <c r="X14"/>
    </row>
    <row r="15" spans="2:248" x14ac:dyDescent="0.2">
      <c r="B15" s="1007"/>
      <c r="C15" s="680" t="s">
        <v>422</v>
      </c>
      <c r="D15" s="681" t="s">
        <v>423</v>
      </c>
      <c r="E15" s="681" t="s">
        <v>275</v>
      </c>
      <c r="F15" s="682" t="s">
        <v>209</v>
      </c>
      <c r="G15" s="687">
        <v>0</v>
      </c>
      <c r="H15" s="683">
        <v>0</v>
      </c>
      <c r="I15" s="683">
        <v>0</v>
      </c>
      <c r="J15" s="688">
        <f t="shared" si="1"/>
        <v>0</v>
      </c>
      <c r="K15" s="684">
        <f t="shared" si="0"/>
        <v>0</v>
      </c>
      <c r="L15" s="1010"/>
      <c r="M15"/>
      <c r="N15" s="47"/>
      <c r="O15" s="47"/>
      <c r="P15" s="17"/>
      <c r="Q15" s="17"/>
      <c r="R15" s="17"/>
      <c r="S15"/>
      <c r="T15" s="90"/>
      <c r="U15" s="90"/>
      <c r="V15" s="90"/>
      <c r="W15" s="90"/>
      <c r="X15"/>
    </row>
    <row r="16" spans="2:248" x14ac:dyDescent="0.2">
      <c r="B16" s="1007"/>
      <c r="C16" s="680"/>
      <c r="D16" s="681"/>
      <c r="E16" s="681"/>
      <c r="F16" s="682"/>
      <c r="G16" s="687">
        <v>0</v>
      </c>
      <c r="H16" s="683">
        <v>0</v>
      </c>
      <c r="I16" s="683">
        <v>0</v>
      </c>
      <c r="J16" s="688">
        <f t="shared" si="1"/>
        <v>0</v>
      </c>
      <c r="K16" s="684">
        <f t="shared" si="0"/>
        <v>0</v>
      </c>
      <c r="L16" s="1010"/>
      <c r="M16"/>
      <c r="N16" s="47"/>
      <c r="O16" s="47"/>
      <c r="P16" s="17"/>
      <c r="Q16" s="17"/>
      <c r="R16" s="17"/>
      <c r="S16"/>
      <c r="T16" s="90"/>
      <c r="U16" s="90"/>
      <c r="V16" s="90"/>
      <c r="W16" s="90"/>
      <c r="X16"/>
    </row>
    <row r="17" spans="2:256" x14ac:dyDescent="0.2">
      <c r="B17" s="1007"/>
      <c r="C17" s="680"/>
      <c r="D17" s="681"/>
      <c r="E17" s="681"/>
      <c r="F17" s="682"/>
      <c r="G17" s="687">
        <v>0</v>
      </c>
      <c r="H17" s="683">
        <v>0</v>
      </c>
      <c r="I17" s="683">
        <v>0</v>
      </c>
      <c r="J17" s="688">
        <f t="shared" si="1"/>
        <v>0</v>
      </c>
      <c r="K17" s="684">
        <f t="shared" si="0"/>
        <v>0</v>
      </c>
      <c r="L17" s="1010"/>
      <c r="M17"/>
      <c r="N17" s="47"/>
      <c r="O17" s="47"/>
      <c r="P17" s="17"/>
      <c r="Q17" s="17"/>
      <c r="R17" s="17"/>
      <c r="S17"/>
      <c r="T17" s="90"/>
      <c r="U17" s="90"/>
      <c r="V17" s="90"/>
      <c r="W17" s="90"/>
      <c r="X17"/>
    </row>
    <row r="18" spans="2:256" ht="13.5" thickBot="1" x14ac:dyDescent="0.25">
      <c r="B18" s="1008"/>
      <c r="C18" s="685"/>
      <c r="D18" s="670"/>
      <c r="E18" s="670"/>
      <c r="F18" s="671"/>
      <c r="G18" s="662">
        <v>0</v>
      </c>
      <c r="H18" s="663">
        <v>0</v>
      </c>
      <c r="I18" s="663">
        <v>0</v>
      </c>
      <c r="J18" s="689">
        <f t="shared" si="1"/>
        <v>0</v>
      </c>
      <c r="K18" s="675">
        <f t="shared" si="0"/>
        <v>0</v>
      </c>
      <c r="L18" s="1011"/>
      <c r="M18"/>
      <c r="N18" s="47"/>
      <c r="O18" s="47"/>
      <c r="P18" s="17"/>
      <c r="Q18" s="17"/>
      <c r="R18" s="17"/>
      <c r="S18"/>
      <c r="T18" s="90"/>
      <c r="U18" s="90"/>
      <c r="V18" s="90"/>
      <c r="W18" s="90"/>
      <c r="X18"/>
    </row>
    <row r="19" spans="2:256" customFormat="1" ht="12.75" customHeight="1" x14ac:dyDescent="0.2">
      <c r="B19" s="1007" t="str">
        <f>'B) Reajuste Tarifas y Ocupación'!A29</f>
        <v>Jardín Infantil Burbujitas de Mar</v>
      </c>
      <c r="C19" s="680" t="s">
        <v>276</v>
      </c>
      <c r="D19" s="680" t="s">
        <v>277</v>
      </c>
      <c r="E19" s="681" t="s">
        <v>275</v>
      </c>
      <c r="F19" s="682" t="s">
        <v>251</v>
      </c>
      <c r="G19" s="687">
        <v>9726575.375</v>
      </c>
      <c r="H19" s="683">
        <f>53000+106742</f>
        <v>159742</v>
      </c>
      <c r="I19" s="683">
        <f>80422+80422</f>
        <v>160844</v>
      </c>
      <c r="J19" s="691">
        <f t="shared" si="1"/>
        <v>10047161.375</v>
      </c>
      <c r="K19" s="679">
        <f t="shared" si="0"/>
        <v>10499283.636875</v>
      </c>
      <c r="L19" s="1010">
        <f>SUM(K19:K26)</f>
        <v>10499283.636875</v>
      </c>
      <c r="N19" s="27"/>
      <c r="O19" s="27"/>
      <c r="P19" s="48"/>
      <c r="Q19" s="48"/>
      <c r="R19" s="48"/>
      <c r="S19" s="25"/>
      <c r="T19" s="24"/>
      <c r="U19" s="24"/>
      <c r="V19" s="24"/>
      <c r="W19" s="24"/>
      <c r="X19" s="26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2:256" customFormat="1" ht="12.75" customHeight="1" x14ac:dyDescent="0.2">
      <c r="B20" s="1007"/>
      <c r="C20" s="680" t="s">
        <v>424</v>
      </c>
      <c r="D20" s="680" t="s">
        <v>428</v>
      </c>
      <c r="E20" s="681" t="s">
        <v>429</v>
      </c>
      <c r="F20" s="682" t="s">
        <v>251</v>
      </c>
      <c r="G20" s="687">
        <v>0</v>
      </c>
      <c r="H20" s="683">
        <v>0</v>
      </c>
      <c r="I20" s="683">
        <v>0</v>
      </c>
      <c r="J20" s="688">
        <f t="shared" si="1"/>
        <v>0</v>
      </c>
      <c r="K20" s="674">
        <f t="shared" si="0"/>
        <v>0</v>
      </c>
      <c r="L20" s="1010"/>
      <c r="N20" s="27"/>
      <c r="O20" s="27"/>
      <c r="P20" s="17"/>
      <c r="Q20" s="17"/>
      <c r="R20" s="17"/>
      <c r="S20" s="25"/>
      <c r="T20" s="24"/>
      <c r="U20" s="24"/>
      <c r="V20" s="24"/>
      <c r="W20" s="24"/>
      <c r="X20" s="26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2:256" customFormat="1" ht="12.75" customHeight="1" x14ac:dyDescent="0.2">
      <c r="B21" s="1007"/>
      <c r="C21" s="585" t="s">
        <v>425</v>
      </c>
      <c r="D21" s="680" t="s">
        <v>288</v>
      </c>
      <c r="E21" s="681" t="s">
        <v>275</v>
      </c>
      <c r="F21" s="581" t="s">
        <v>251</v>
      </c>
      <c r="G21" s="687">
        <v>0</v>
      </c>
      <c r="H21" s="683">
        <v>0</v>
      </c>
      <c r="I21" s="683">
        <v>0</v>
      </c>
      <c r="J21" s="688">
        <f t="shared" si="1"/>
        <v>0</v>
      </c>
      <c r="K21" s="674">
        <f t="shared" si="0"/>
        <v>0</v>
      </c>
      <c r="L21" s="1010"/>
      <c r="N21" s="27"/>
      <c r="O21" s="27"/>
      <c r="P21" s="17"/>
      <c r="Q21" s="17"/>
      <c r="R21" s="17"/>
      <c r="S21" s="25"/>
      <c r="T21" s="24"/>
      <c r="U21" s="24"/>
      <c r="V21" s="24"/>
      <c r="W21" s="24"/>
      <c r="X21" s="26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2:256" customFormat="1" ht="12.75" customHeight="1" x14ac:dyDescent="0.2">
      <c r="B22" s="1007"/>
      <c r="C22" s="585" t="s">
        <v>430</v>
      </c>
      <c r="D22" s="580" t="s">
        <v>449</v>
      </c>
      <c r="E22" s="580" t="s">
        <v>431</v>
      </c>
      <c r="F22" s="581" t="s">
        <v>251</v>
      </c>
      <c r="G22" s="687">
        <v>0</v>
      </c>
      <c r="H22" s="683">
        <v>0</v>
      </c>
      <c r="I22" s="683">
        <v>0</v>
      </c>
      <c r="J22" s="688">
        <f t="shared" si="1"/>
        <v>0</v>
      </c>
      <c r="K22" s="674">
        <f t="shared" si="0"/>
        <v>0</v>
      </c>
      <c r="L22" s="1010"/>
      <c r="N22" s="27"/>
      <c r="O22" s="27"/>
      <c r="P22" s="17"/>
      <c r="Q22" s="17"/>
      <c r="R22" s="17"/>
      <c r="S22" s="25"/>
      <c r="T22" s="24"/>
      <c r="U22" s="24"/>
      <c r="V22" s="24"/>
      <c r="W22" s="24"/>
      <c r="X22" s="26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2:256" customFormat="1" ht="12.75" customHeight="1" x14ac:dyDescent="0.2">
      <c r="B23" s="1007"/>
      <c r="C23" s="585"/>
      <c r="D23" s="580"/>
      <c r="E23" s="580"/>
      <c r="F23" s="581"/>
      <c r="G23" s="687">
        <v>0</v>
      </c>
      <c r="H23" s="683">
        <v>0</v>
      </c>
      <c r="I23" s="683">
        <v>0</v>
      </c>
      <c r="J23" s="688">
        <f t="shared" si="1"/>
        <v>0</v>
      </c>
      <c r="K23" s="674">
        <f>+J23*(1+$K$6)</f>
        <v>0</v>
      </c>
      <c r="L23" s="1010"/>
      <c r="N23" s="27"/>
      <c r="O23" s="27"/>
      <c r="P23" s="17"/>
      <c r="Q23" s="17"/>
      <c r="R23" s="17"/>
      <c r="S23" s="25"/>
      <c r="T23" s="24"/>
      <c r="U23" s="24"/>
      <c r="V23" s="24"/>
      <c r="W23" s="24"/>
      <c r="X23" s="26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2:256" customFormat="1" ht="12.75" customHeight="1" x14ac:dyDescent="0.2">
      <c r="B24" s="1007"/>
      <c r="C24" s="585"/>
      <c r="D24" s="580"/>
      <c r="E24" s="580"/>
      <c r="F24" s="581"/>
      <c r="G24" s="687">
        <v>0</v>
      </c>
      <c r="H24" s="683">
        <v>0</v>
      </c>
      <c r="I24" s="683">
        <v>0</v>
      </c>
      <c r="J24" s="688">
        <f t="shared" si="1"/>
        <v>0</v>
      </c>
      <c r="K24" s="674">
        <f t="shared" si="0"/>
        <v>0</v>
      </c>
      <c r="L24" s="1010"/>
      <c r="N24" s="27"/>
      <c r="O24" s="27"/>
      <c r="P24" s="17"/>
      <c r="Q24" s="17"/>
      <c r="R24" s="17"/>
      <c r="S24" s="25"/>
      <c r="T24" s="24"/>
      <c r="U24" s="24"/>
      <c r="V24" s="24"/>
      <c r="W24" s="24"/>
      <c r="X24" s="26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2:256" customFormat="1" ht="12.75" customHeight="1" x14ac:dyDescent="0.2">
      <c r="B25" s="1007"/>
      <c r="C25" s="585"/>
      <c r="D25" s="580"/>
      <c r="E25" s="580"/>
      <c r="F25" s="581"/>
      <c r="G25" s="687">
        <v>0</v>
      </c>
      <c r="H25" s="683">
        <v>0</v>
      </c>
      <c r="I25" s="683">
        <v>0</v>
      </c>
      <c r="J25" s="688">
        <f t="shared" si="1"/>
        <v>0</v>
      </c>
      <c r="K25" s="674">
        <f t="shared" si="0"/>
        <v>0</v>
      </c>
      <c r="L25" s="1010"/>
      <c r="N25" s="27"/>
      <c r="O25" s="27"/>
      <c r="P25" s="17"/>
      <c r="Q25" s="17"/>
      <c r="R25" s="17"/>
      <c r="S25" s="25"/>
      <c r="T25" s="24"/>
      <c r="U25" s="24"/>
      <c r="V25" s="24"/>
      <c r="W25" s="24"/>
      <c r="X25" s="26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2:256" customFormat="1" ht="12.75" customHeight="1" thickBot="1" x14ac:dyDescent="0.25">
      <c r="B26" s="1008"/>
      <c r="C26" s="181"/>
      <c r="D26" s="670"/>
      <c r="E26" s="670"/>
      <c r="F26" s="671"/>
      <c r="G26" s="662">
        <v>0</v>
      </c>
      <c r="H26" s="663">
        <v>0</v>
      </c>
      <c r="I26" s="663">
        <v>0</v>
      </c>
      <c r="J26" s="689">
        <f t="shared" si="1"/>
        <v>0</v>
      </c>
      <c r="K26" s="675">
        <f t="shared" si="0"/>
        <v>0</v>
      </c>
      <c r="L26" s="1011"/>
      <c r="N26" s="27"/>
      <c r="O26" s="27"/>
      <c r="P26" s="17"/>
      <c r="Q26" s="17"/>
      <c r="R26" s="17"/>
      <c r="S26" s="25"/>
      <c r="T26" s="24"/>
      <c r="U26" s="24"/>
      <c r="V26" s="24"/>
      <c r="W26" s="24"/>
      <c r="X26" s="26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2:256" ht="15" customHeight="1" x14ac:dyDescent="0.2">
      <c r="B27" s="981" t="s">
        <v>114</v>
      </c>
      <c r="C27" s="1013" t="s">
        <v>73</v>
      </c>
      <c r="D27" s="967" t="s">
        <v>74</v>
      </c>
      <c r="E27" s="940" t="s">
        <v>3</v>
      </c>
      <c r="F27" s="942" t="s">
        <v>81</v>
      </c>
      <c r="G27" s="944" t="s">
        <v>263</v>
      </c>
      <c r="H27" s="945"/>
      <c r="I27" s="945"/>
      <c r="J27" s="945"/>
      <c r="K27" s="934" t="s">
        <v>265</v>
      </c>
      <c r="L27" s="1015" t="s">
        <v>115</v>
      </c>
      <c r="O27" s="22"/>
      <c r="P27" s="22"/>
      <c r="Q27" s="22"/>
      <c r="R27" s="22"/>
      <c r="S27" s="22"/>
      <c r="T27" s="22"/>
    </row>
    <row r="28" spans="2:256" ht="42" customHeight="1" thickBot="1" x14ac:dyDescent="0.25">
      <c r="B28" s="1019"/>
      <c r="C28" s="1014"/>
      <c r="D28" s="968"/>
      <c r="E28" s="941"/>
      <c r="F28" s="943"/>
      <c r="G28" s="644" t="s">
        <v>218</v>
      </c>
      <c r="H28" s="262" t="s">
        <v>116</v>
      </c>
      <c r="I28" s="262" t="s">
        <v>117</v>
      </c>
      <c r="J28" s="676" t="s">
        <v>264</v>
      </c>
      <c r="K28" s="1017"/>
      <c r="L28" s="1018"/>
      <c r="M28"/>
      <c r="N28" s="47"/>
      <c r="O28" s="47"/>
      <c r="P28" s="17"/>
      <c r="Q28" s="17"/>
      <c r="R28" s="17"/>
      <c r="S28"/>
      <c r="T28" s="1012"/>
      <c r="U28" s="1012"/>
      <c r="V28" s="1012"/>
      <c r="W28" s="1012"/>
      <c r="X28"/>
    </row>
    <row r="29" spans="2:256" x14ac:dyDescent="0.2">
      <c r="B29" s="1006" t="str">
        <f>+'A) Resumen Ingresos y Egresos'!A11</f>
        <v>Sala Cuna Burbujitas de Mar Diurna</v>
      </c>
      <c r="C29" s="677" t="s">
        <v>273</v>
      </c>
      <c r="D29" s="677" t="s">
        <v>274</v>
      </c>
      <c r="E29" s="668" t="s">
        <v>278</v>
      </c>
      <c r="F29" s="678" t="s">
        <v>251</v>
      </c>
      <c r="G29" s="690">
        <v>13166684.375</v>
      </c>
      <c r="H29" s="683">
        <f t="shared" ref="H29:H34" si="2">53000+106742</f>
        <v>159742</v>
      </c>
      <c r="I29" s="654">
        <f>78592+78592</f>
        <v>157184</v>
      </c>
      <c r="J29" s="686">
        <f>SUM(G29:I29)</f>
        <v>13483610.375</v>
      </c>
      <c r="K29" s="673">
        <f t="shared" ref="K29:K58" si="3">+J29*(1+$K$6)</f>
        <v>14090372.841875</v>
      </c>
      <c r="L29" s="1009">
        <f>SUM(K29:K43)</f>
        <v>71506646.0625</v>
      </c>
      <c r="M29"/>
      <c r="N29" s="27"/>
      <c r="O29" s="27"/>
      <c r="P29" s="17"/>
      <c r="Q29" s="17"/>
      <c r="R29" s="17"/>
      <c r="S29" s="28"/>
      <c r="T29" s="28"/>
      <c r="U29" s="29"/>
      <c r="V29" s="29"/>
    </row>
    <row r="30" spans="2:256" x14ac:dyDescent="0.2">
      <c r="B30" s="1007"/>
      <c r="C30" s="680" t="s">
        <v>286</v>
      </c>
      <c r="D30" s="681" t="s">
        <v>294</v>
      </c>
      <c r="E30" s="681" t="s">
        <v>278</v>
      </c>
      <c r="F30" s="682" t="s">
        <v>252</v>
      </c>
      <c r="G30" s="687">
        <v>13166684.375</v>
      </c>
      <c r="H30" s="683">
        <f t="shared" si="2"/>
        <v>159742</v>
      </c>
      <c r="I30" s="683">
        <f>78592+78592</f>
        <v>157184</v>
      </c>
      <c r="J30" s="688">
        <f t="shared" ref="J30:J58" si="4">SUM(G30:I30)</f>
        <v>13483610.375</v>
      </c>
      <c r="K30" s="684">
        <f t="shared" si="3"/>
        <v>14090372.841875</v>
      </c>
      <c r="L30" s="1010"/>
      <c r="M30"/>
      <c r="N30" s="27"/>
      <c r="O30" s="27"/>
      <c r="P30" s="27"/>
      <c r="Q30" s="27"/>
      <c r="R30" s="27"/>
      <c r="S30" s="28"/>
      <c r="T30" s="28"/>
      <c r="U30" s="29"/>
      <c r="V30" s="29"/>
    </row>
    <row r="31" spans="2:256" x14ac:dyDescent="0.2">
      <c r="B31" s="1007"/>
      <c r="C31" s="680" t="s">
        <v>280</v>
      </c>
      <c r="D31" s="681" t="s">
        <v>288</v>
      </c>
      <c r="E31" s="681" t="s">
        <v>275</v>
      </c>
      <c r="F31" s="682" t="s">
        <v>252</v>
      </c>
      <c r="G31" s="687">
        <v>9726575.375</v>
      </c>
      <c r="H31" s="683">
        <f t="shared" si="2"/>
        <v>159742</v>
      </c>
      <c r="I31" s="683">
        <f>80422+80422</f>
        <v>160844</v>
      </c>
      <c r="J31" s="688">
        <f t="shared" si="4"/>
        <v>10047161.375</v>
      </c>
      <c r="K31" s="684">
        <f t="shared" si="3"/>
        <v>10499283.636875</v>
      </c>
      <c r="L31" s="1010"/>
      <c r="M31"/>
      <c r="N31" s="27"/>
      <c r="O31" s="27"/>
      <c r="P31" s="48"/>
      <c r="Q31" s="48"/>
      <c r="R31" s="48"/>
      <c r="T31" s="90"/>
      <c r="U31" s="90"/>
      <c r="V31" s="90"/>
      <c r="W31" s="90"/>
    </row>
    <row r="32" spans="2:256" x14ac:dyDescent="0.2">
      <c r="B32" s="1007"/>
      <c r="C32" s="680" t="s">
        <v>282</v>
      </c>
      <c r="D32" s="681" t="s">
        <v>290</v>
      </c>
      <c r="E32" s="681" t="s">
        <v>275</v>
      </c>
      <c r="F32" s="682" t="s">
        <v>252</v>
      </c>
      <c r="G32" s="687">
        <v>10263852.625</v>
      </c>
      <c r="H32" s="683">
        <f t="shared" si="2"/>
        <v>159742</v>
      </c>
      <c r="I32" s="683">
        <f>80422+80422</f>
        <v>160844</v>
      </c>
      <c r="J32" s="688">
        <f t="shared" si="4"/>
        <v>10584438.625</v>
      </c>
      <c r="K32" s="684">
        <f t="shared" si="3"/>
        <v>11060738.363125</v>
      </c>
      <c r="L32" s="1010"/>
      <c r="M32"/>
      <c r="N32" s="27"/>
      <c r="O32" s="27"/>
      <c r="P32" s="17"/>
      <c r="Q32" s="17"/>
      <c r="R32" s="17"/>
      <c r="S32" s="28"/>
      <c r="T32" s="28"/>
      <c r="U32" s="29"/>
      <c r="V32" s="29"/>
    </row>
    <row r="33" spans="2:23" x14ac:dyDescent="0.2">
      <c r="B33" s="1007"/>
      <c r="C33" s="680" t="s">
        <v>283</v>
      </c>
      <c r="D33" s="681" t="s">
        <v>291</v>
      </c>
      <c r="E33" s="681" t="s">
        <v>275</v>
      </c>
      <c r="F33" s="682" t="s">
        <v>252</v>
      </c>
      <c r="G33" s="687">
        <v>10460844.375</v>
      </c>
      <c r="H33" s="683">
        <f t="shared" si="2"/>
        <v>159742</v>
      </c>
      <c r="I33" s="683">
        <f>80422+80422</f>
        <v>160844</v>
      </c>
      <c r="J33" s="688">
        <f t="shared" si="4"/>
        <v>10781430.375</v>
      </c>
      <c r="K33" s="684">
        <f t="shared" si="3"/>
        <v>11266594.741874998</v>
      </c>
      <c r="L33" s="1010"/>
      <c r="M33"/>
      <c r="N33" s="27"/>
      <c r="O33" s="27"/>
      <c r="P33" s="17"/>
      <c r="Q33" s="17"/>
      <c r="R33" s="17"/>
      <c r="S33" s="28"/>
      <c r="T33" s="28"/>
      <c r="U33" s="29"/>
      <c r="V33" s="29"/>
    </row>
    <row r="34" spans="2:23" x14ac:dyDescent="0.2">
      <c r="B34" s="1007"/>
      <c r="C34" s="680" t="s">
        <v>433</v>
      </c>
      <c r="D34" s="681" t="s">
        <v>412</v>
      </c>
      <c r="E34" s="681" t="s">
        <v>275</v>
      </c>
      <c r="F34" s="682" t="s">
        <v>252</v>
      </c>
      <c r="G34" s="687">
        <v>9726575.375</v>
      </c>
      <c r="H34" s="683">
        <f t="shared" si="2"/>
        <v>159742</v>
      </c>
      <c r="I34" s="683">
        <f>80422+80422</f>
        <v>160844</v>
      </c>
      <c r="J34" s="688">
        <f t="shared" si="4"/>
        <v>10047161.375</v>
      </c>
      <c r="K34" s="684">
        <f t="shared" si="3"/>
        <v>10499283.636875</v>
      </c>
      <c r="L34" s="1010"/>
      <c r="M34"/>
      <c r="N34" s="27"/>
      <c r="O34" s="27"/>
      <c r="P34" s="17"/>
      <c r="Q34" s="17"/>
      <c r="R34" s="17"/>
      <c r="S34" s="28"/>
      <c r="T34" s="28"/>
      <c r="U34" s="29"/>
      <c r="V34" s="29"/>
    </row>
    <row r="35" spans="2:23" x14ac:dyDescent="0.2">
      <c r="B35" s="1007"/>
      <c r="C35" s="680" t="s">
        <v>441</v>
      </c>
      <c r="D35" s="681" t="s">
        <v>434</v>
      </c>
      <c r="E35" s="681" t="s">
        <v>275</v>
      </c>
      <c r="F35" s="682" t="s">
        <v>252</v>
      </c>
      <c r="G35" s="687">
        <v>0</v>
      </c>
      <c r="H35" s="683">
        <v>0</v>
      </c>
      <c r="I35" s="683">
        <v>0</v>
      </c>
      <c r="J35" s="688">
        <f t="shared" si="4"/>
        <v>0</v>
      </c>
      <c r="K35" s="684">
        <f t="shared" si="3"/>
        <v>0</v>
      </c>
      <c r="L35" s="1010"/>
      <c r="M35"/>
      <c r="N35" s="27"/>
      <c r="O35" s="27"/>
      <c r="P35" s="17"/>
      <c r="Q35" s="17"/>
      <c r="R35" s="17"/>
      <c r="S35" s="28"/>
      <c r="T35" s="28"/>
      <c r="U35" s="29"/>
      <c r="V35" s="29"/>
    </row>
    <row r="36" spans="2:23" x14ac:dyDescent="0.2">
      <c r="B36" s="1007"/>
      <c r="C36" s="680" t="s">
        <v>442</v>
      </c>
      <c r="D36" s="681" t="s">
        <v>435</v>
      </c>
      <c r="E36" s="681" t="s">
        <v>275</v>
      </c>
      <c r="F36" s="682" t="s">
        <v>252</v>
      </c>
      <c r="G36" s="687">
        <v>0</v>
      </c>
      <c r="H36" s="683">
        <v>0</v>
      </c>
      <c r="I36" s="683">
        <v>0</v>
      </c>
      <c r="J36" s="688">
        <f t="shared" si="4"/>
        <v>0</v>
      </c>
      <c r="K36" s="684">
        <f t="shared" si="3"/>
        <v>0</v>
      </c>
      <c r="L36" s="1010"/>
      <c r="M36"/>
      <c r="N36" s="27"/>
      <c r="O36" s="27"/>
      <c r="P36" s="17"/>
      <c r="Q36" s="17"/>
      <c r="R36" s="17"/>
      <c r="S36" s="28"/>
      <c r="T36" s="28"/>
      <c r="U36" s="29"/>
      <c r="V36" s="29"/>
    </row>
    <row r="37" spans="2:23" x14ac:dyDescent="0.2">
      <c r="B37" s="1007"/>
      <c r="C37" s="680" t="s">
        <v>443</v>
      </c>
      <c r="D37" s="681" t="s">
        <v>436</v>
      </c>
      <c r="E37" s="681" t="s">
        <v>275</v>
      </c>
      <c r="F37" s="682" t="s">
        <v>252</v>
      </c>
      <c r="G37" s="687">
        <v>0</v>
      </c>
      <c r="H37" s="683">
        <v>0</v>
      </c>
      <c r="I37" s="683">
        <v>0</v>
      </c>
      <c r="J37" s="688">
        <f t="shared" si="4"/>
        <v>0</v>
      </c>
      <c r="K37" s="684">
        <f t="shared" si="3"/>
        <v>0</v>
      </c>
      <c r="L37" s="1010"/>
      <c r="M37"/>
      <c r="N37" s="27"/>
      <c r="O37" s="27"/>
      <c r="P37" s="17"/>
      <c r="Q37" s="17"/>
      <c r="R37" s="17"/>
      <c r="S37" s="28"/>
      <c r="T37" s="28"/>
      <c r="U37" s="29"/>
      <c r="V37" s="29"/>
    </row>
    <row r="38" spans="2:23" x14ac:dyDescent="0.2">
      <c r="B38" s="1007"/>
      <c r="C38" s="680" t="s">
        <v>444</v>
      </c>
      <c r="D38" s="681" t="s">
        <v>437</v>
      </c>
      <c r="E38" s="681" t="s">
        <v>275</v>
      </c>
      <c r="F38" s="682" t="s">
        <v>252</v>
      </c>
      <c r="G38" s="687">
        <v>0</v>
      </c>
      <c r="H38" s="683">
        <v>0</v>
      </c>
      <c r="I38" s="683">
        <v>0</v>
      </c>
      <c r="J38" s="688">
        <f t="shared" si="4"/>
        <v>0</v>
      </c>
      <c r="K38" s="684">
        <f t="shared" si="3"/>
        <v>0</v>
      </c>
      <c r="L38" s="1010"/>
      <c r="M38"/>
      <c r="N38" s="27"/>
      <c r="O38" s="27"/>
      <c r="P38" s="17"/>
      <c r="Q38" s="17"/>
      <c r="R38" s="17"/>
      <c r="S38" s="28"/>
      <c r="T38" s="28"/>
      <c r="U38" s="29"/>
      <c r="V38" s="29"/>
    </row>
    <row r="39" spans="2:23" x14ac:dyDescent="0.2">
      <c r="B39" s="1007"/>
      <c r="C39" s="680" t="s">
        <v>445</v>
      </c>
      <c r="D39" s="681" t="s">
        <v>438</v>
      </c>
      <c r="E39" s="681" t="s">
        <v>440</v>
      </c>
      <c r="F39" s="682" t="s">
        <v>252</v>
      </c>
      <c r="G39" s="687">
        <v>0</v>
      </c>
      <c r="H39" s="683">
        <v>0</v>
      </c>
      <c r="I39" s="683">
        <v>0</v>
      </c>
      <c r="J39" s="688">
        <f t="shared" si="4"/>
        <v>0</v>
      </c>
      <c r="K39" s="684">
        <f t="shared" si="3"/>
        <v>0</v>
      </c>
      <c r="L39" s="1010"/>
      <c r="M39"/>
      <c r="N39" s="27"/>
      <c r="O39" s="27"/>
      <c r="P39" s="17"/>
      <c r="Q39" s="17"/>
      <c r="R39" s="17"/>
      <c r="S39" s="28"/>
      <c r="T39" s="28"/>
      <c r="U39" s="29"/>
      <c r="V39" s="29"/>
    </row>
    <row r="40" spans="2:23" x14ac:dyDescent="0.2">
      <c r="B40" s="1007"/>
      <c r="C40" s="680" t="s">
        <v>445</v>
      </c>
      <c r="D40" s="681" t="s">
        <v>439</v>
      </c>
      <c r="E40" s="681" t="s">
        <v>431</v>
      </c>
      <c r="F40" s="682" t="s">
        <v>252</v>
      </c>
      <c r="G40" s="687">
        <v>0</v>
      </c>
      <c r="H40" s="683">
        <v>0</v>
      </c>
      <c r="I40" s="683">
        <v>0</v>
      </c>
      <c r="J40" s="688">
        <f t="shared" si="4"/>
        <v>0</v>
      </c>
      <c r="K40" s="684">
        <f t="shared" si="3"/>
        <v>0</v>
      </c>
      <c r="L40" s="1010"/>
      <c r="M40"/>
      <c r="N40" s="27"/>
      <c r="O40" s="27"/>
      <c r="P40" s="17"/>
      <c r="Q40" s="17"/>
      <c r="R40" s="17"/>
      <c r="S40" s="28"/>
      <c r="T40" s="28"/>
      <c r="U40" s="29"/>
      <c r="V40" s="29"/>
    </row>
    <row r="41" spans="2:23" x14ac:dyDescent="0.2">
      <c r="B41" s="1007"/>
      <c r="C41" s="680" t="s">
        <v>426</v>
      </c>
      <c r="D41" s="681" t="s">
        <v>427</v>
      </c>
      <c r="E41" s="681" t="s">
        <v>432</v>
      </c>
      <c r="F41" s="682" t="s">
        <v>252</v>
      </c>
      <c r="G41" s="687">
        <v>0</v>
      </c>
      <c r="H41" s="683">
        <v>0</v>
      </c>
      <c r="I41" s="683">
        <v>0</v>
      </c>
      <c r="J41" s="688">
        <f t="shared" si="4"/>
        <v>0</v>
      </c>
      <c r="K41" s="684">
        <f t="shared" si="3"/>
        <v>0</v>
      </c>
      <c r="L41" s="1010"/>
      <c r="M41"/>
      <c r="N41" s="27"/>
      <c r="O41" s="27"/>
      <c r="P41" s="17"/>
      <c r="Q41" s="17"/>
      <c r="R41" s="17"/>
      <c r="S41" s="28"/>
      <c r="T41" s="28"/>
      <c r="U41" s="29"/>
      <c r="V41" s="29"/>
    </row>
    <row r="42" spans="2:23" x14ac:dyDescent="0.2">
      <c r="B42" s="1007"/>
      <c r="C42" s="680" t="s">
        <v>446</v>
      </c>
      <c r="D42" s="681" t="s">
        <v>447</v>
      </c>
      <c r="E42" s="681" t="s">
        <v>429</v>
      </c>
      <c r="F42" s="682" t="s">
        <v>252</v>
      </c>
      <c r="G42" s="687">
        <v>0</v>
      </c>
      <c r="H42" s="683">
        <v>0</v>
      </c>
      <c r="I42" s="683">
        <v>0</v>
      </c>
      <c r="J42" s="688">
        <f t="shared" si="4"/>
        <v>0</v>
      </c>
      <c r="K42" s="684">
        <f t="shared" si="3"/>
        <v>0</v>
      </c>
      <c r="L42" s="1010"/>
      <c r="M42"/>
      <c r="N42" s="27"/>
      <c r="O42" s="27"/>
      <c r="P42" s="17"/>
      <c r="Q42" s="17"/>
      <c r="R42" s="17"/>
      <c r="S42" s="28"/>
      <c r="T42" s="28"/>
      <c r="U42" s="29"/>
      <c r="V42" s="29"/>
    </row>
    <row r="43" spans="2:23" ht="13.5" thickBot="1" x14ac:dyDescent="0.25">
      <c r="B43" s="1008"/>
      <c r="C43" s="685"/>
      <c r="D43" s="670"/>
      <c r="E43" s="670"/>
      <c r="F43" s="671"/>
      <c r="G43" s="662">
        <v>0</v>
      </c>
      <c r="H43" s="663">
        <v>0</v>
      </c>
      <c r="I43" s="663">
        <v>0</v>
      </c>
      <c r="J43" s="689">
        <f t="shared" si="4"/>
        <v>0</v>
      </c>
      <c r="K43" s="675">
        <f t="shared" si="3"/>
        <v>0</v>
      </c>
      <c r="L43" s="1011"/>
      <c r="M43"/>
      <c r="N43" s="27"/>
      <c r="O43" s="27"/>
      <c r="P43" s="17"/>
      <c r="Q43" s="17"/>
      <c r="R43" s="17"/>
      <c r="S43" s="28"/>
      <c r="T43" s="28"/>
      <c r="U43" s="29"/>
      <c r="V43" s="29"/>
    </row>
    <row r="44" spans="2:23" x14ac:dyDescent="0.2">
      <c r="B44" s="1006" t="str">
        <f>+'A) Resumen Ingresos y Egresos'!A12</f>
        <v>Sala Cuna Burbujitas de Mar Nocturna</v>
      </c>
      <c r="C44" s="584" t="s">
        <v>279</v>
      </c>
      <c r="D44" s="668" t="s">
        <v>287</v>
      </c>
      <c r="E44" s="668" t="s">
        <v>429</v>
      </c>
      <c r="F44" s="669" t="s">
        <v>252</v>
      </c>
      <c r="G44" s="653">
        <v>9040819.875</v>
      </c>
      <c r="H44" s="654">
        <f>106000+106742</f>
        <v>212742</v>
      </c>
      <c r="I44" s="654">
        <f>78592+78592</f>
        <v>157184</v>
      </c>
      <c r="J44" s="686">
        <f t="shared" si="4"/>
        <v>9410745.875</v>
      </c>
      <c r="K44" s="673">
        <f t="shared" si="3"/>
        <v>9834229.4393750001</v>
      </c>
      <c r="L44" s="1009">
        <f>SUM(K44:K58)</f>
        <v>44353989.927499995</v>
      </c>
      <c r="M44"/>
      <c r="N44" s="27"/>
      <c r="O44" s="27"/>
      <c r="P44" s="17"/>
      <c r="Q44" s="17"/>
      <c r="R44" s="17"/>
      <c r="S44" s="28"/>
      <c r="T44" s="28"/>
      <c r="U44" s="29"/>
      <c r="V44" s="29"/>
    </row>
    <row r="45" spans="2:23" ht="12.75" customHeight="1" x14ac:dyDescent="0.2">
      <c r="B45" s="1007"/>
      <c r="C45" s="680" t="s">
        <v>285</v>
      </c>
      <c r="D45" s="681" t="s">
        <v>293</v>
      </c>
      <c r="E45" s="681" t="s">
        <v>429</v>
      </c>
      <c r="F45" s="682" t="s">
        <v>252</v>
      </c>
      <c r="G45" s="687">
        <v>11421823.375</v>
      </c>
      <c r="H45" s="683">
        <f>53000+106742</f>
        <v>159742</v>
      </c>
      <c r="I45" s="683">
        <f>78592+78592</f>
        <v>157184</v>
      </c>
      <c r="J45" s="688">
        <f t="shared" si="4"/>
        <v>11738749.375</v>
      </c>
      <c r="K45" s="684">
        <f t="shared" si="3"/>
        <v>12266993.096874999</v>
      </c>
      <c r="L45" s="1010"/>
      <c r="M45"/>
      <c r="N45" s="27"/>
      <c r="O45" s="27"/>
      <c r="P45" s="27"/>
      <c r="Q45" s="27"/>
      <c r="R45" s="27"/>
      <c r="S45" s="28"/>
      <c r="T45" s="28"/>
      <c r="U45" s="29"/>
      <c r="V45" s="29"/>
    </row>
    <row r="46" spans="2:23" ht="12.75" customHeight="1" x14ac:dyDescent="0.2">
      <c r="B46" s="1007"/>
      <c r="C46" s="680" t="s">
        <v>281</v>
      </c>
      <c r="D46" s="681" t="s">
        <v>289</v>
      </c>
      <c r="E46" s="681" t="s">
        <v>429</v>
      </c>
      <c r="F46" s="682" t="s">
        <v>252</v>
      </c>
      <c r="G46" s="687">
        <v>13166684.375</v>
      </c>
      <c r="H46" s="683">
        <f>53000+106742</f>
        <v>159742</v>
      </c>
      <c r="I46" s="683">
        <f>78592+78592</f>
        <v>157184</v>
      </c>
      <c r="J46" s="688">
        <f t="shared" si="4"/>
        <v>13483610.375</v>
      </c>
      <c r="K46" s="684">
        <f t="shared" si="3"/>
        <v>14090372.841875</v>
      </c>
      <c r="L46" s="1010"/>
      <c r="M46"/>
      <c r="N46" s="27"/>
      <c r="O46" s="27"/>
      <c r="P46" s="48"/>
      <c r="Q46" s="48"/>
      <c r="R46" s="48"/>
      <c r="T46" s="90"/>
      <c r="U46" s="90"/>
      <c r="V46" s="90"/>
      <c r="W46" s="90"/>
    </row>
    <row r="47" spans="2:23" ht="12.75" customHeight="1" x14ac:dyDescent="0.2">
      <c r="B47" s="1007"/>
      <c r="C47" s="680" t="s">
        <v>284</v>
      </c>
      <c r="D47" s="681" t="s">
        <v>292</v>
      </c>
      <c r="E47" s="681" t="s">
        <v>275</v>
      </c>
      <c r="F47" s="682" t="s">
        <v>252</v>
      </c>
      <c r="G47" s="687">
        <v>7330575.875</v>
      </c>
      <c r="H47" s="683">
        <f>106000+213484</f>
        <v>319484</v>
      </c>
      <c r="I47" s="683">
        <f>80422+80422</f>
        <v>160844</v>
      </c>
      <c r="J47" s="688">
        <f t="shared" si="4"/>
        <v>7810903.875</v>
      </c>
      <c r="K47" s="684">
        <f t="shared" si="3"/>
        <v>8162394.5493749995</v>
      </c>
      <c r="L47" s="1010"/>
      <c r="M47"/>
      <c r="N47" s="27"/>
      <c r="O47" s="27"/>
      <c r="P47" s="17"/>
      <c r="Q47" s="17"/>
      <c r="R47" s="17"/>
      <c r="S47" s="28"/>
      <c r="T47" s="28"/>
      <c r="U47" s="29"/>
      <c r="V47" s="29"/>
    </row>
    <row r="48" spans="2:23" ht="12.75" customHeight="1" x14ac:dyDescent="0.2">
      <c r="B48" s="1007"/>
      <c r="C48" s="680" t="s">
        <v>451</v>
      </c>
      <c r="D48" s="681" t="s">
        <v>452</v>
      </c>
      <c r="E48" s="681" t="s">
        <v>275</v>
      </c>
      <c r="F48" s="682" t="s">
        <v>252</v>
      </c>
      <c r="G48" s="687">
        <v>0</v>
      </c>
      <c r="H48" s="683">
        <v>0</v>
      </c>
      <c r="I48" s="683">
        <v>0</v>
      </c>
      <c r="J48" s="688">
        <f t="shared" si="4"/>
        <v>0</v>
      </c>
      <c r="K48" s="684">
        <f t="shared" si="3"/>
        <v>0</v>
      </c>
      <c r="L48" s="1010"/>
      <c r="M48"/>
      <c r="N48" s="27"/>
      <c r="O48" s="27"/>
      <c r="P48" s="17"/>
      <c r="Q48" s="17"/>
      <c r="R48" s="17"/>
      <c r="S48" s="28"/>
      <c r="T48" s="28"/>
      <c r="U48" s="29"/>
      <c r="V48" s="29"/>
    </row>
    <row r="49" spans="2:22" ht="12.75" customHeight="1" x14ac:dyDescent="0.2">
      <c r="B49" s="1007"/>
      <c r="C49" s="680" t="s">
        <v>454</v>
      </c>
      <c r="D49" s="681" t="s">
        <v>453</v>
      </c>
      <c r="E49" s="681" t="s">
        <v>275</v>
      </c>
      <c r="F49" s="682" t="s">
        <v>252</v>
      </c>
      <c r="G49" s="687">
        <v>0</v>
      </c>
      <c r="H49" s="683">
        <v>0</v>
      </c>
      <c r="I49" s="683">
        <v>0</v>
      </c>
      <c r="J49" s="688">
        <f t="shared" si="4"/>
        <v>0</v>
      </c>
      <c r="K49" s="684">
        <f t="shared" si="3"/>
        <v>0</v>
      </c>
      <c r="L49" s="1010"/>
      <c r="M49"/>
      <c r="N49" s="27"/>
      <c r="O49" s="27"/>
      <c r="P49" s="17"/>
      <c r="Q49" s="17"/>
      <c r="R49" s="17"/>
      <c r="S49" s="28"/>
      <c r="T49" s="28"/>
      <c r="U49" s="29"/>
      <c r="V49" s="29"/>
    </row>
    <row r="50" spans="2:22" ht="12.75" customHeight="1" x14ac:dyDescent="0.2">
      <c r="B50" s="1007"/>
      <c r="C50" s="680" t="s">
        <v>455</v>
      </c>
      <c r="D50" s="681" t="s">
        <v>456</v>
      </c>
      <c r="E50" s="681" t="s">
        <v>275</v>
      </c>
      <c r="F50" s="682" t="s">
        <v>252</v>
      </c>
      <c r="G50" s="687">
        <v>0</v>
      </c>
      <c r="H50" s="683">
        <v>0</v>
      </c>
      <c r="I50" s="683">
        <v>0</v>
      </c>
      <c r="J50" s="688">
        <f t="shared" si="4"/>
        <v>0</v>
      </c>
      <c r="K50" s="684">
        <f t="shared" si="3"/>
        <v>0</v>
      </c>
      <c r="L50" s="1010"/>
      <c r="M50"/>
      <c r="N50" s="27"/>
      <c r="O50" s="27"/>
      <c r="P50" s="17"/>
      <c r="Q50" s="17"/>
      <c r="R50" s="17"/>
      <c r="S50" s="28"/>
      <c r="T50" s="28"/>
      <c r="U50" s="29"/>
      <c r="V50" s="29"/>
    </row>
    <row r="51" spans="2:22" ht="12.75" customHeight="1" x14ac:dyDescent="0.2">
      <c r="B51" s="1007"/>
      <c r="C51" s="680"/>
      <c r="D51" s="681"/>
      <c r="E51" s="681"/>
      <c r="F51" s="682"/>
      <c r="G51" s="687">
        <v>0</v>
      </c>
      <c r="H51" s="683">
        <v>0</v>
      </c>
      <c r="I51" s="683">
        <v>0</v>
      </c>
      <c r="J51" s="688">
        <f t="shared" si="4"/>
        <v>0</v>
      </c>
      <c r="K51" s="684">
        <f t="shared" si="3"/>
        <v>0</v>
      </c>
      <c r="L51" s="1010"/>
      <c r="M51"/>
      <c r="N51" s="27"/>
      <c r="O51" s="27"/>
      <c r="P51" s="17"/>
      <c r="Q51" s="17"/>
      <c r="R51" s="17"/>
      <c r="S51" s="28"/>
      <c r="T51" s="28"/>
      <c r="U51" s="29"/>
      <c r="V51" s="29"/>
    </row>
    <row r="52" spans="2:22" x14ac:dyDescent="0.2">
      <c r="B52" s="1007"/>
      <c r="C52" s="680"/>
      <c r="D52" s="681"/>
      <c r="E52" s="681"/>
      <c r="F52" s="682"/>
      <c r="G52" s="687">
        <v>0</v>
      </c>
      <c r="H52" s="683">
        <v>0</v>
      </c>
      <c r="I52" s="683">
        <v>0</v>
      </c>
      <c r="J52" s="688">
        <f t="shared" si="4"/>
        <v>0</v>
      </c>
      <c r="K52" s="684">
        <f t="shared" si="3"/>
        <v>0</v>
      </c>
      <c r="L52" s="1010"/>
      <c r="M52"/>
      <c r="N52" s="27"/>
      <c r="O52" s="27"/>
      <c r="P52" s="17"/>
      <c r="Q52" s="17"/>
      <c r="R52" s="17"/>
      <c r="S52" s="28"/>
      <c r="T52" s="28"/>
      <c r="U52" s="29"/>
      <c r="V52" s="29"/>
    </row>
    <row r="53" spans="2:22" ht="12.75" customHeight="1" x14ac:dyDescent="0.2">
      <c r="B53" s="1007"/>
      <c r="C53" s="680"/>
      <c r="D53" s="681"/>
      <c r="E53" s="681"/>
      <c r="F53" s="682"/>
      <c r="G53" s="687">
        <v>0</v>
      </c>
      <c r="H53" s="683">
        <v>0</v>
      </c>
      <c r="I53" s="683">
        <v>0</v>
      </c>
      <c r="J53" s="688">
        <f t="shared" si="4"/>
        <v>0</v>
      </c>
      <c r="K53" s="684">
        <f t="shared" si="3"/>
        <v>0</v>
      </c>
      <c r="L53" s="1010"/>
      <c r="M53"/>
      <c r="N53" s="27"/>
      <c r="O53" s="27"/>
      <c r="P53" s="17"/>
      <c r="Q53" s="17"/>
      <c r="R53" s="17"/>
      <c r="S53" s="28"/>
      <c r="T53" s="28"/>
      <c r="U53" s="29"/>
      <c r="V53" s="29"/>
    </row>
    <row r="54" spans="2:22" ht="12.75" customHeight="1" x14ac:dyDescent="0.2">
      <c r="B54" s="1007"/>
      <c r="C54" s="680"/>
      <c r="D54" s="681"/>
      <c r="E54" s="681"/>
      <c r="F54" s="682"/>
      <c r="G54" s="687">
        <v>0</v>
      </c>
      <c r="H54" s="683">
        <v>0</v>
      </c>
      <c r="I54" s="683">
        <v>0</v>
      </c>
      <c r="J54" s="688">
        <f t="shared" si="4"/>
        <v>0</v>
      </c>
      <c r="K54" s="684">
        <f t="shared" si="3"/>
        <v>0</v>
      </c>
      <c r="L54" s="1010"/>
      <c r="M54"/>
      <c r="N54" s="27"/>
      <c r="O54" s="27"/>
      <c r="P54" s="17"/>
      <c r="Q54" s="17"/>
      <c r="R54" s="17"/>
      <c r="S54" s="28"/>
      <c r="T54" s="28"/>
      <c r="U54" s="29"/>
      <c r="V54" s="29"/>
    </row>
    <row r="55" spans="2:22" ht="13.5" customHeight="1" x14ac:dyDescent="0.2">
      <c r="B55" s="1007"/>
      <c r="C55" s="680"/>
      <c r="D55" s="681"/>
      <c r="E55" s="681"/>
      <c r="F55" s="682"/>
      <c r="G55" s="687">
        <v>0</v>
      </c>
      <c r="H55" s="683">
        <v>0</v>
      </c>
      <c r="I55" s="683">
        <v>0</v>
      </c>
      <c r="J55" s="688">
        <f t="shared" si="4"/>
        <v>0</v>
      </c>
      <c r="K55" s="684">
        <f t="shared" si="3"/>
        <v>0</v>
      </c>
      <c r="L55" s="1010"/>
      <c r="M55"/>
      <c r="N55" s="27"/>
      <c r="O55" s="27"/>
      <c r="P55" s="17"/>
      <c r="Q55" s="17"/>
      <c r="R55" s="17"/>
      <c r="S55" s="28"/>
      <c r="T55" s="28"/>
      <c r="U55" s="29"/>
      <c r="V55" s="29"/>
    </row>
    <row r="56" spans="2:22" ht="12.75" customHeight="1" x14ac:dyDescent="0.2">
      <c r="B56" s="1007"/>
      <c r="C56" s="680"/>
      <c r="D56" s="681"/>
      <c r="E56" s="681"/>
      <c r="F56" s="682"/>
      <c r="G56" s="687">
        <v>0</v>
      </c>
      <c r="H56" s="683">
        <v>0</v>
      </c>
      <c r="I56" s="683">
        <v>0</v>
      </c>
      <c r="J56" s="688">
        <f t="shared" si="4"/>
        <v>0</v>
      </c>
      <c r="K56" s="684">
        <f t="shared" si="3"/>
        <v>0</v>
      </c>
      <c r="L56" s="1010"/>
      <c r="M56"/>
      <c r="N56" s="27"/>
      <c r="O56" s="27"/>
      <c r="P56" s="17"/>
      <c r="Q56" s="17"/>
      <c r="R56" s="17"/>
      <c r="S56" s="28"/>
      <c r="T56" s="28"/>
      <c r="U56" s="29"/>
      <c r="V56" s="29"/>
    </row>
    <row r="57" spans="2:22" ht="13.5" customHeight="1" x14ac:dyDescent="0.2">
      <c r="B57" s="1007"/>
      <c r="C57" s="680"/>
      <c r="D57" s="681"/>
      <c r="E57" s="681"/>
      <c r="F57" s="682"/>
      <c r="G57" s="687">
        <v>0</v>
      </c>
      <c r="H57" s="683">
        <v>0</v>
      </c>
      <c r="I57" s="683">
        <v>0</v>
      </c>
      <c r="J57" s="688">
        <f t="shared" si="4"/>
        <v>0</v>
      </c>
      <c r="K57" s="684">
        <f t="shared" si="3"/>
        <v>0</v>
      </c>
      <c r="L57" s="1010"/>
      <c r="M57"/>
      <c r="N57" s="27"/>
      <c r="O57" s="27"/>
      <c r="P57" s="17"/>
      <c r="Q57" s="17"/>
      <c r="R57" s="17"/>
      <c r="S57" s="28"/>
      <c r="T57" s="28"/>
      <c r="U57" s="29"/>
      <c r="V57" s="29"/>
    </row>
    <row r="58" spans="2:22" ht="13.5" customHeight="1" thickBot="1" x14ac:dyDescent="0.25">
      <c r="B58" s="1008"/>
      <c r="C58" s="685"/>
      <c r="D58" s="670"/>
      <c r="E58" s="670"/>
      <c r="F58" s="671"/>
      <c r="G58" s="662">
        <v>0</v>
      </c>
      <c r="H58" s="663">
        <v>0</v>
      </c>
      <c r="I58" s="663">
        <v>0</v>
      </c>
      <c r="J58" s="689">
        <f t="shared" si="4"/>
        <v>0</v>
      </c>
      <c r="K58" s="675">
        <f t="shared" si="3"/>
        <v>0</v>
      </c>
      <c r="L58" s="1011"/>
      <c r="M58"/>
      <c r="N58" s="27"/>
      <c r="O58" s="27"/>
      <c r="P58" s="17"/>
      <c r="Q58" s="17"/>
      <c r="R58" s="17"/>
      <c r="S58" s="28"/>
      <c r="T58" s="28"/>
      <c r="U58" s="29"/>
      <c r="V58" s="29"/>
    </row>
    <row r="59" spans="2:22" ht="16.5" thickBot="1" x14ac:dyDescent="0.25">
      <c r="B59" s="21"/>
      <c r="C59"/>
      <c r="D59"/>
      <c r="E59" s="34"/>
      <c r="F59" s="34"/>
      <c r="G59" s="34"/>
      <c r="H59" s="34"/>
      <c r="I59" s="34"/>
      <c r="J59" s="34"/>
      <c r="K59" s="583" t="s">
        <v>94</v>
      </c>
      <c r="L59" s="177">
        <f>SUM(L11:L58)</f>
        <v>155181215.825625</v>
      </c>
      <c r="M59" s="22"/>
      <c r="N59" s="22"/>
      <c r="O59" s="22"/>
      <c r="P59" s="27"/>
      <c r="Q59" s="27"/>
      <c r="R59" s="27"/>
      <c r="S59" s="28"/>
      <c r="T59" s="28"/>
      <c r="U59" s="29"/>
      <c r="V59" s="29"/>
    </row>
    <row r="60" spans="2:22" x14ac:dyDescent="0.2">
      <c r="B60" s="21"/>
      <c r="C60"/>
      <c r="D60"/>
      <c r="E60" s="34"/>
      <c r="F60" s="34"/>
      <c r="G60" s="34"/>
      <c r="H60" s="34"/>
      <c r="I60" s="34"/>
      <c r="J60" s="34"/>
      <c r="K60" s="30"/>
      <c r="L60" s="30"/>
      <c r="M60" s="22"/>
      <c r="N60" s="22"/>
      <c r="O60" s="22"/>
      <c r="P60" s="27"/>
      <c r="Q60" s="27"/>
      <c r="R60" s="27"/>
      <c r="S60" s="28"/>
      <c r="T60" s="28"/>
      <c r="U60" s="29"/>
      <c r="V60" s="29"/>
    </row>
    <row r="61" spans="2:22" x14ac:dyDescent="0.2">
      <c r="B61" s="21"/>
      <c r="C61" s="21"/>
      <c r="D61" s="21"/>
      <c r="E61" s="21"/>
      <c r="F61" s="21"/>
      <c r="G61" s="21"/>
      <c r="H61" s="21"/>
      <c r="I61" s="21"/>
      <c r="J61" s="21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9"/>
      <c r="V61" s="29"/>
    </row>
    <row r="62" spans="2:22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9"/>
      <c r="V62" s="29"/>
    </row>
    <row r="63" spans="2:22" x14ac:dyDescent="0.2">
      <c r="B63" s="21"/>
      <c r="C63" s="21"/>
      <c r="D63" s="21"/>
      <c r="E63" s="21"/>
      <c r="F63" s="21"/>
      <c r="G63" s="21"/>
      <c r="H63" s="21"/>
      <c r="I63" s="21"/>
      <c r="J63" s="21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9"/>
      <c r="V63" s="29"/>
    </row>
    <row r="64" spans="2:22" x14ac:dyDescent="0.2">
      <c r="B64" s="21"/>
      <c r="C64" s="21"/>
      <c r="D64" s="21"/>
      <c r="E64" s="21"/>
      <c r="F64" s="21"/>
      <c r="G64" s="21"/>
      <c r="H64" s="21"/>
      <c r="I64" s="21"/>
      <c r="J64" s="21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9"/>
      <c r="V64" s="29"/>
    </row>
    <row r="65" spans="2:22" x14ac:dyDescent="0.2">
      <c r="B65" s="21"/>
      <c r="C65" s="21"/>
      <c r="D65" s="21"/>
      <c r="E65" s="21"/>
      <c r="F65" s="21"/>
      <c r="G65" s="21"/>
      <c r="H65" s="21"/>
      <c r="I65" s="21"/>
      <c r="J65" s="21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9"/>
      <c r="V65" s="29"/>
    </row>
    <row r="66" spans="2:22" x14ac:dyDescent="0.2">
      <c r="B66" s="21"/>
      <c r="C66" s="21"/>
      <c r="D66" s="21"/>
      <c r="E66" s="21"/>
      <c r="F66" s="21"/>
      <c r="G66" s="21"/>
      <c r="H66" s="21"/>
      <c r="I66" s="21"/>
      <c r="J66" s="21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9"/>
      <c r="V66" s="29"/>
    </row>
  </sheetData>
  <sheetProtection sheet="1" objects="1" scenarios="1"/>
  <mergeCells count="27">
    <mergeCell ref="L19:L26"/>
    <mergeCell ref="K27:K28"/>
    <mergeCell ref="L27:L28"/>
    <mergeCell ref="B27:B28"/>
    <mergeCell ref="C27:C28"/>
    <mergeCell ref="D27:D28"/>
    <mergeCell ref="E27:E28"/>
    <mergeCell ref="F27:F28"/>
    <mergeCell ref="G27:J27"/>
    <mergeCell ref="B19:B26"/>
    <mergeCell ref="K9:K10"/>
    <mergeCell ref="L9:L10"/>
    <mergeCell ref="T10:W10"/>
    <mergeCell ref="B11:B18"/>
    <mergeCell ref="L11:L18"/>
    <mergeCell ref="F9:F10"/>
    <mergeCell ref="G9:J9"/>
    <mergeCell ref="B44:B58"/>
    <mergeCell ref="L44:L58"/>
    <mergeCell ref="T28:W28"/>
    <mergeCell ref="B29:B43"/>
    <mergeCell ref="L29:L43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7030A0"/>
  </sheetPr>
  <dimension ref="A1:S25"/>
  <sheetViews>
    <sheetView showGridLines="0" topLeftCell="D1" zoomScale="80" zoomScaleNormal="80" workbookViewId="0">
      <selection activeCell="I23" sqref="I23"/>
    </sheetView>
  </sheetViews>
  <sheetFormatPr baseColWidth="10" defaultColWidth="10.7109375" defaultRowHeight="12.75" x14ac:dyDescent="0.2"/>
  <cols>
    <col min="1" max="1" width="33" style="2" customWidth="1"/>
    <col min="2" max="2" width="33" style="2" bestFit="1" customWidth="1"/>
    <col min="3" max="12" width="14.7109375" style="2" customWidth="1"/>
    <col min="13" max="13" width="33.5703125" style="2" bestFit="1" customWidth="1"/>
    <col min="14" max="14" width="14.7109375" style="2" customWidth="1"/>
    <col min="15" max="15" width="33.5703125" style="2" bestFit="1" customWidth="1"/>
    <col min="16" max="16" width="14.7109375" style="2" customWidth="1"/>
    <col min="17" max="17" width="14.28515625" style="2" customWidth="1"/>
    <col min="18" max="16384" width="10.7109375" style="2"/>
  </cols>
  <sheetData>
    <row r="1" spans="1:19" x14ac:dyDescent="0.2">
      <c r="B1" s="33"/>
      <c r="C1" s="33"/>
      <c r="D1" s="33" t="s">
        <v>208</v>
      </c>
      <c r="E1" s="33"/>
      <c r="F1" s="33"/>
      <c r="G1" s="33"/>
      <c r="H1" s="33"/>
      <c r="I1" s="33"/>
      <c r="J1" s="33"/>
      <c r="K1" s="33"/>
      <c r="L1" s="33"/>
      <c r="M1" s="33"/>
      <c r="N1" s="33"/>
      <c r="P1" s="33"/>
    </row>
    <row r="2" spans="1:19" x14ac:dyDescent="0.2">
      <c r="B2" s="33"/>
      <c r="C2" s="33"/>
      <c r="D2" s="33" t="s">
        <v>200</v>
      </c>
      <c r="E2" s="33"/>
      <c r="F2" s="33"/>
      <c r="G2" s="33"/>
      <c r="H2" s="33"/>
      <c r="I2" s="33"/>
      <c r="J2" s="33"/>
      <c r="K2" s="33"/>
      <c r="L2" s="33"/>
      <c r="M2" s="33"/>
      <c r="N2" s="33"/>
      <c r="P2" s="33"/>
    </row>
    <row r="3" spans="1:19" x14ac:dyDescent="0.2">
      <c r="C3" s="4"/>
      <c r="D3" s="4"/>
      <c r="E3" s="4"/>
      <c r="F3" s="4"/>
      <c r="G3" s="4"/>
      <c r="H3" s="4"/>
      <c r="I3" s="4"/>
      <c r="J3" s="4"/>
      <c r="K3" s="4"/>
      <c r="L3" s="4"/>
      <c r="N3" s="4"/>
      <c r="P3" s="4"/>
    </row>
    <row r="4" spans="1:19" ht="18.75" customHeight="1" x14ac:dyDescent="0.2">
      <c r="C4" s="16" t="s">
        <v>0</v>
      </c>
      <c r="D4" s="844" t="str">
        <f>+'B) Reajuste Tarifas y Ocupación'!F5</f>
        <v>(DEPTO./DELEG.)</v>
      </c>
      <c r="E4" s="845"/>
      <c r="F4" s="846"/>
      <c r="G4" s="33"/>
      <c r="H4" s="33"/>
      <c r="I4" s="33"/>
      <c r="J4" s="33"/>
      <c r="K4" s="33"/>
      <c r="L4" s="33"/>
      <c r="N4" s="33"/>
      <c r="P4" s="33"/>
    </row>
    <row r="5" spans="1:19" x14ac:dyDescent="0.2">
      <c r="A5" s="6"/>
      <c r="B5" s="6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P5" s="33"/>
    </row>
    <row r="6" spans="1:19" x14ac:dyDescent="0.2">
      <c r="A6" s="6"/>
      <c r="B6" s="6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P6" s="33"/>
    </row>
    <row r="7" spans="1:19" ht="12.75" customHeight="1" x14ac:dyDescent="0.2">
      <c r="A7" s="1040" t="s">
        <v>128</v>
      </c>
      <c r="B7" s="1041"/>
      <c r="C7" s="1041"/>
      <c r="D7" s="1041"/>
      <c r="E7" s="1041"/>
      <c r="F7" s="1041"/>
      <c r="G7" s="1041"/>
      <c r="H7" s="1041"/>
      <c r="I7" s="1041"/>
      <c r="J7" s="1041"/>
      <c r="K7" s="1041"/>
      <c r="L7" s="1041"/>
      <c r="M7" s="1041"/>
      <c r="N7" s="1041"/>
      <c r="O7" s="1042"/>
      <c r="P7" s="45"/>
    </row>
    <row r="8" spans="1:19" x14ac:dyDescent="0.2">
      <c r="A8" s="1043"/>
      <c r="B8" s="1044"/>
      <c r="C8" s="1044"/>
      <c r="D8" s="1044"/>
      <c r="E8" s="1044"/>
      <c r="F8" s="1044"/>
      <c r="G8" s="1044"/>
      <c r="H8" s="1044"/>
      <c r="I8" s="1044"/>
      <c r="J8" s="1044"/>
      <c r="K8" s="1044"/>
      <c r="L8" s="1044"/>
      <c r="M8" s="1044"/>
      <c r="N8" s="1044"/>
      <c r="O8" s="1045"/>
      <c r="P8" s="45"/>
    </row>
    <row r="9" spans="1:19" x14ac:dyDescent="0.2">
      <c r="A9" s="1046"/>
      <c r="B9" s="1047"/>
      <c r="C9" s="1047"/>
      <c r="D9" s="1047"/>
      <c r="E9" s="1047"/>
      <c r="F9" s="1047"/>
      <c r="G9" s="1047"/>
      <c r="H9" s="1047"/>
      <c r="I9" s="1047"/>
      <c r="J9" s="1047"/>
      <c r="K9" s="1047"/>
      <c r="L9" s="1047"/>
      <c r="M9" s="1047"/>
      <c r="N9" s="1047"/>
      <c r="O9" s="1048"/>
      <c r="P9" s="45"/>
    </row>
    <row r="10" spans="1:19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9" x14ac:dyDescent="0.2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spans="1:19" ht="15.75" x14ac:dyDescent="0.2">
      <c r="A12" s="828" t="s">
        <v>161</v>
      </c>
      <c r="B12" s="828"/>
      <c r="C12" s="828"/>
      <c r="D12" s="828"/>
      <c r="E12" s="89"/>
      <c r="F12" s="45"/>
      <c r="G12" s="45"/>
      <c r="H12" s="45"/>
      <c r="I12" s="44"/>
      <c r="J12" s="44"/>
      <c r="K12" s="45"/>
      <c r="L12" s="45"/>
      <c r="M12" s="45"/>
      <c r="N12" s="45"/>
      <c r="O12" s="45"/>
      <c r="P12" s="45"/>
    </row>
    <row r="13" spans="1:19" ht="13.5" thickBot="1" x14ac:dyDescent="0.25">
      <c r="A13" s="6"/>
      <c r="B13" s="6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P13" s="33"/>
    </row>
    <row r="14" spans="1:19" ht="20.25" customHeight="1" x14ac:dyDescent="0.2">
      <c r="A14" s="1025" t="s">
        <v>134</v>
      </c>
      <c r="B14" s="1027" t="s">
        <v>5</v>
      </c>
      <c r="C14" s="878" t="s">
        <v>261</v>
      </c>
      <c r="D14" s="865"/>
      <c r="E14" s="865"/>
      <c r="F14" s="865"/>
      <c r="G14" s="866"/>
      <c r="H14" s="1031" t="s">
        <v>142</v>
      </c>
      <c r="I14" s="1032"/>
      <c r="J14" s="1032"/>
      <c r="K14" s="1032"/>
      <c r="L14" s="1033"/>
      <c r="M14" s="1029" t="s">
        <v>110</v>
      </c>
      <c r="N14" s="1030"/>
      <c r="O14" s="1038" t="s">
        <v>111</v>
      </c>
      <c r="P14" s="1039"/>
      <c r="Q14" s="1036" t="s">
        <v>129</v>
      </c>
    </row>
    <row r="15" spans="1:19" ht="74.25" customHeight="1" thickBot="1" x14ac:dyDescent="0.25">
      <c r="A15" s="1026"/>
      <c r="B15" s="1028"/>
      <c r="C15" s="228" t="s">
        <v>86</v>
      </c>
      <c r="D15" s="229" t="s">
        <v>136</v>
      </c>
      <c r="E15" s="229" t="s">
        <v>137</v>
      </c>
      <c r="F15" s="229" t="s">
        <v>87</v>
      </c>
      <c r="G15" s="230" t="s">
        <v>88</v>
      </c>
      <c r="H15" s="124" t="s">
        <v>86</v>
      </c>
      <c r="I15" s="241" t="s">
        <v>136</v>
      </c>
      <c r="J15" s="241" t="s">
        <v>137</v>
      </c>
      <c r="K15" s="241" t="s">
        <v>87</v>
      </c>
      <c r="L15" s="242" t="s">
        <v>88</v>
      </c>
      <c r="M15" s="243" t="s">
        <v>72</v>
      </c>
      <c r="N15" s="182" t="s">
        <v>85</v>
      </c>
      <c r="O15" s="244" t="s">
        <v>72</v>
      </c>
      <c r="P15" s="182" t="s">
        <v>85</v>
      </c>
      <c r="Q15" s="1037"/>
    </row>
    <row r="16" spans="1:19" ht="12.75" customHeight="1" x14ac:dyDescent="0.2">
      <c r="A16" s="1022" t="str">
        <f>'B) Reajuste Tarifas y Ocupación'!A12</f>
        <v>Jardín Infantil Tortuguita Marina</v>
      </c>
      <c r="B16" s="245" t="str">
        <f>+'B) Reajuste Tarifas y Ocupación'!B12</f>
        <v>Media jornada</v>
      </c>
      <c r="C16" s="120">
        <f>+'B) Reajuste Tarifas y Ocupación'!M12</f>
        <v>98200</v>
      </c>
      <c r="D16" s="246">
        <f>+'B) Reajuste Tarifas y Ocupación'!N12</f>
        <v>132500</v>
      </c>
      <c r="E16" s="246">
        <f>+'B) Reajuste Tarifas y Ocupación'!O12</f>
        <v>137400</v>
      </c>
      <c r="F16" s="246">
        <f>+'B) Reajuste Tarifas y Ocupación'!P12</f>
        <v>133900</v>
      </c>
      <c r="G16" s="247">
        <f>+'B) Reajuste Tarifas y Ocupación'!Q12</f>
        <v>170200</v>
      </c>
      <c r="H16" s="125">
        <f t="shared" ref="H16:L19" si="0">IFERROR(C16/$Q16,0)</f>
        <v>0.35709090909090907</v>
      </c>
      <c r="I16" s="248">
        <f t="shared" si="0"/>
        <v>0.48181818181818181</v>
      </c>
      <c r="J16" s="248">
        <f t="shared" si="0"/>
        <v>0.49963636363636366</v>
      </c>
      <c r="K16" s="248">
        <f t="shared" si="0"/>
        <v>0.4869090909090909</v>
      </c>
      <c r="L16" s="249">
        <f t="shared" si="0"/>
        <v>0.61890909090909096</v>
      </c>
      <c r="M16" s="250" t="s">
        <v>413</v>
      </c>
      <c r="N16" s="251">
        <v>200000</v>
      </c>
      <c r="O16" s="584" t="s">
        <v>415</v>
      </c>
      <c r="P16" s="251">
        <v>350000</v>
      </c>
      <c r="Q16" s="121">
        <f>AVERAGE(N16,P16)</f>
        <v>275000</v>
      </c>
      <c r="R16" s="17"/>
      <c r="S16" s="18"/>
    </row>
    <row r="17" spans="1:19" ht="13.5" thickBot="1" x14ac:dyDescent="0.25">
      <c r="A17" s="1023"/>
      <c r="B17" s="122" t="str">
        <f>+'B) Reajuste Tarifas y Ocupación'!B13</f>
        <v xml:space="preserve">Doble Jornada </v>
      </c>
      <c r="C17" s="433">
        <f>+'B) Reajuste Tarifas y Ocupación'!M13</f>
        <v>124700</v>
      </c>
      <c r="D17" s="434">
        <f>+'B) Reajuste Tarifas y Ocupación'!N13</f>
        <v>168400</v>
      </c>
      <c r="E17" s="434">
        <f>+'B) Reajuste Tarifas y Ocupación'!O13</f>
        <v>174600</v>
      </c>
      <c r="F17" s="434">
        <f>+'B) Reajuste Tarifas y Ocupación'!P13</f>
        <v>187000</v>
      </c>
      <c r="G17" s="435">
        <f>+'B) Reajuste Tarifas y Ocupación'!Q13</f>
        <v>249100</v>
      </c>
      <c r="H17" s="183">
        <f t="shared" si="0"/>
        <v>0.3238961038961039</v>
      </c>
      <c r="I17" s="184">
        <f t="shared" si="0"/>
        <v>0.4374025974025974</v>
      </c>
      <c r="J17" s="184">
        <f t="shared" si="0"/>
        <v>0.45350649350649352</v>
      </c>
      <c r="K17" s="184">
        <f t="shared" si="0"/>
        <v>0.48571428571428571</v>
      </c>
      <c r="L17" s="185">
        <f t="shared" si="0"/>
        <v>0.64701298701298704</v>
      </c>
      <c r="M17" s="181" t="s">
        <v>414</v>
      </c>
      <c r="N17" s="180">
        <v>350000</v>
      </c>
      <c r="O17" s="685" t="s">
        <v>415</v>
      </c>
      <c r="P17" s="180">
        <v>420000</v>
      </c>
      <c r="Q17" s="202">
        <f>AVERAGE(N17,P17)</f>
        <v>385000</v>
      </c>
      <c r="R17" s="17"/>
      <c r="S17" s="18"/>
    </row>
    <row r="18" spans="1:19" x14ac:dyDescent="0.2">
      <c r="A18" s="1022" t="str">
        <f>'B) Reajuste Tarifas y Ocupación'!A14</f>
        <v>Jardín Infantil Burbujitas de Mar</v>
      </c>
      <c r="B18" s="245" t="str">
        <f>+'B) Reajuste Tarifas y Ocupación'!B14</f>
        <v>Media jornada</v>
      </c>
      <c r="C18" s="120">
        <f>+'B) Reajuste Tarifas y Ocupación'!M14</f>
        <v>135500</v>
      </c>
      <c r="D18" s="246">
        <f>+'B) Reajuste Tarifas y Ocupación'!N14</f>
        <v>182900</v>
      </c>
      <c r="E18" s="246">
        <f>+'B) Reajuste Tarifas y Ocupación'!O14</f>
        <v>189700</v>
      </c>
      <c r="F18" s="246">
        <f>+'B) Reajuste Tarifas y Ocupación'!P14</f>
        <v>169400</v>
      </c>
      <c r="G18" s="436">
        <f>+'B) Reajuste Tarifas y Ocupación'!Q14</f>
        <v>203200</v>
      </c>
      <c r="H18" s="431">
        <f t="shared" si="0"/>
        <v>0.49272727272727274</v>
      </c>
      <c r="I18" s="248">
        <f t="shared" si="0"/>
        <v>0.66509090909090907</v>
      </c>
      <c r="J18" s="248">
        <f t="shared" si="0"/>
        <v>0.68981818181818177</v>
      </c>
      <c r="K18" s="248">
        <f t="shared" si="0"/>
        <v>0.61599999999999999</v>
      </c>
      <c r="L18" s="249">
        <f t="shared" si="0"/>
        <v>0.73890909090909096</v>
      </c>
      <c r="M18" s="584" t="s">
        <v>413</v>
      </c>
      <c r="N18" s="251">
        <v>200000</v>
      </c>
      <c r="O18" s="584" t="s">
        <v>415</v>
      </c>
      <c r="P18" s="251">
        <v>350000</v>
      </c>
      <c r="Q18" s="121">
        <f>AVERAGE(N18,P18)</f>
        <v>275000</v>
      </c>
      <c r="R18" s="17"/>
      <c r="S18" s="18"/>
    </row>
    <row r="19" spans="1:19" ht="13.5" thickBot="1" x14ac:dyDescent="0.25">
      <c r="A19" s="1023"/>
      <c r="B19" s="122" t="str">
        <f>+'B) Reajuste Tarifas y Ocupación'!B15</f>
        <v>Jornada  Completa</v>
      </c>
      <c r="C19" s="420">
        <f>+'B) Reajuste Tarifas y Ocupación'!M15</f>
        <v>212500</v>
      </c>
      <c r="D19" s="407">
        <f>+'B) Reajuste Tarifas y Ocupación'!N15</f>
        <v>286900</v>
      </c>
      <c r="E19" s="407">
        <f>+'B) Reajuste Tarifas y Ocupación'!O15</f>
        <v>297500</v>
      </c>
      <c r="F19" s="407">
        <f>+'B) Reajuste Tarifas y Ocupación'!P15</f>
        <v>265700</v>
      </c>
      <c r="G19" s="421">
        <f>+'B) Reajuste Tarifas y Ocupación'!Q15</f>
        <v>318800</v>
      </c>
      <c r="H19" s="432">
        <f t="shared" si="0"/>
        <v>0.55194805194805197</v>
      </c>
      <c r="I19" s="184">
        <f t="shared" si="0"/>
        <v>0.74519480519480519</v>
      </c>
      <c r="J19" s="184">
        <f t="shared" si="0"/>
        <v>0.77272727272727271</v>
      </c>
      <c r="K19" s="184">
        <f t="shared" si="0"/>
        <v>0.69012987012987015</v>
      </c>
      <c r="L19" s="185">
        <f t="shared" si="0"/>
        <v>0.82805194805194804</v>
      </c>
      <c r="M19" s="685" t="s">
        <v>414</v>
      </c>
      <c r="N19" s="180">
        <v>350000</v>
      </c>
      <c r="O19" s="685" t="s">
        <v>415</v>
      </c>
      <c r="P19" s="180">
        <v>420000</v>
      </c>
      <c r="Q19" s="202">
        <f>AVERAGE(N19,P19)</f>
        <v>385000</v>
      </c>
      <c r="R19" s="17"/>
      <c r="S19" s="18"/>
    </row>
    <row r="20" spans="1:19" ht="12.75" customHeight="1" thickBot="1" x14ac:dyDescent="0.25"/>
    <row r="21" spans="1:19" ht="20.25" customHeight="1" x14ac:dyDescent="0.2">
      <c r="A21" s="1025" t="s">
        <v>135</v>
      </c>
      <c r="B21" s="1027" t="s">
        <v>5</v>
      </c>
      <c r="C21" s="878" t="s">
        <v>261</v>
      </c>
      <c r="D21" s="865"/>
      <c r="E21" s="865"/>
      <c r="F21" s="865"/>
      <c r="G21" s="866"/>
      <c r="H21" s="1031" t="s">
        <v>142</v>
      </c>
      <c r="I21" s="1032"/>
      <c r="J21" s="1032"/>
      <c r="K21" s="1032"/>
      <c r="L21" s="1033"/>
      <c r="M21" s="1049" t="s">
        <v>110</v>
      </c>
      <c r="N21" s="1021"/>
      <c r="O21" s="1020" t="s">
        <v>111</v>
      </c>
      <c r="P21" s="1021"/>
      <c r="Q21" s="1034" t="s">
        <v>129</v>
      </c>
    </row>
    <row r="22" spans="1:19" ht="71.25" customHeight="1" thickBot="1" x14ac:dyDescent="0.25">
      <c r="A22" s="1026"/>
      <c r="B22" s="1028"/>
      <c r="C22" s="228" t="s">
        <v>86</v>
      </c>
      <c r="D22" s="229" t="s">
        <v>136</v>
      </c>
      <c r="E22" s="229" t="s">
        <v>137</v>
      </c>
      <c r="F22" s="229" t="s">
        <v>87</v>
      </c>
      <c r="G22" s="230" t="s">
        <v>88</v>
      </c>
      <c r="H22" s="127" t="s">
        <v>86</v>
      </c>
      <c r="I22" s="254" t="s">
        <v>136</v>
      </c>
      <c r="J22" s="241" t="s">
        <v>137</v>
      </c>
      <c r="K22" s="254" t="s">
        <v>87</v>
      </c>
      <c r="L22" s="255" t="s">
        <v>88</v>
      </c>
      <c r="M22" s="203" t="s">
        <v>72</v>
      </c>
      <c r="N22" s="171" t="s">
        <v>85</v>
      </c>
      <c r="O22" s="204" t="s">
        <v>72</v>
      </c>
      <c r="P22" s="171" t="s">
        <v>85</v>
      </c>
      <c r="Q22" s="1035"/>
    </row>
    <row r="23" spans="1:19" ht="12.75" customHeight="1" x14ac:dyDescent="0.2">
      <c r="A23" s="1024" t="str">
        <f>'B) Reajuste Tarifas y Ocupación'!A19</f>
        <v>Sala Cuna Burbujitas de Mar</v>
      </c>
      <c r="B23" s="256" t="str">
        <f>+'B) Reajuste Tarifas y Ocupación'!B19</f>
        <v>Jornada Completa Diurna</v>
      </c>
      <c r="C23" s="120">
        <f>+'B) Reajuste Tarifas y Ocupación'!M19</f>
        <v>437600</v>
      </c>
      <c r="D23" s="246">
        <f>+'B) Reajuste Tarifas y Ocupación'!N19</f>
        <v>590800</v>
      </c>
      <c r="E23" s="246">
        <f>+'B) Reajuste Tarifas y Ocupación'!O19</f>
        <v>612700</v>
      </c>
      <c r="F23" s="246">
        <f>+'B) Reajuste Tarifas y Ocupación'!P19</f>
        <v>547000</v>
      </c>
      <c r="G23" s="247">
        <f>+'B) Reajuste Tarifas y Ocupación'!Q19</f>
        <v>656300</v>
      </c>
      <c r="H23" s="125">
        <f>IFERROR(C23/$Q23,0)</f>
        <v>1.0940000000000001</v>
      </c>
      <c r="I23" s="257">
        <f>IFERROR(D23/$Q23,0)</f>
        <v>1.4770000000000001</v>
      </c>
      <c r="J23" s="257">
        <f>IFERROR(E23/$Q23,0)</f>
        <v>1.5317499999999999</v>
      </c>
      <c r="K23" s="257">
        <f>IFERROR(F23/$Q23,0)</f>
        <v>1.3674999999999999</v>
      </c>
      <c r="L23" s="258">
        <f>IFERROR(G23/$Q23,0)</f>
        <v>1.6407499999999999</v>
      </c>
      <c r="M23" s="812" t="s">
        <v>417</v>
      </c>
      <c r="N23" s="251">
        <v>350000</v>
      </c>
      <c r="O23" s="813" t="s">
        <v>416</v>
      </c>
      <c r="P23" s="251">
        <v>450000</v>
      </c>
      <c r="Q23" s="259">
        <f>AVERAGE(N23,P23)</f>
        <v>400000</v>
      </c>
    </row>
    <row r="24" spans="1:19" ht="12.75" customHeight="1" x14ac:dyDescent="0.2">
      <c r="A24" s="1022"/>
      <c r="B24" s="245" t="str">
        <f>+'B) Reajuste Tarifas y Ocupación'!B20</f>
        <v>Nocturna</v>
      </c>
      <c r="C24" s="260">
        <f>+'B) Reajuste Tarifas y Ocupación'!M20</f>
        <v>353000</v>
      </c>
      <c r="D24" s="637"/>
      <c r="E24" s="637"/>
      <c r="F24" s="637"/>
      <c r="G24" s="638"/>
      <c r="H24" s="126">
        <f>IFERROR(C24/$Q24,0)</f>
        <v>0</v>
      </c>
      <c r="I24" s="639"/>
      <c r="J24" s="639"/>
      <c r="K24" s="639"/>
      <c r="L24" s="640"/>
      <c r="M24" s="814" t="s">
        <v>417</v>
      </c>
      <c r="N24" s="179">
        <v>0</v>
      </c>
      <c r="O24" s="815" t="s">
        <v>416</v>
      </c>
      <c r="P24" s="179">
        <v>0</v>
      </c>
      <c r="Q24" s="261">
        <f>AVERAGE(N24,P24)</f>
        <v>0</v>
      </c>
    </row>
    <row r="25" spans="1:19" ht="12.75" customHeight="1" thickBot="1" x14ac:dyDescent="0.25">
      <c r="A25" s="1023"/>
      <c r="B25" s="122" t="str">
        <f>+'B) Reajuste Tarifas y Ocupación'!B21</f>
        <v>Media Jornada</v>
      </c>
      <c r="C25" s="252">
        <f>+'B) Reajuste Tarifas y Ocupación'!M21</f>
        <v>262800</v>
      </c>
      <c r="D25" s="253">
        <f>+'B) Reajuste Tarifas y Ocupación'!N21</f>
        <v>354800</v>
      </c>
      <c r="E25" s="253">
        <f>+'B) Reajuste Tarifas y Ocupación'!O21</f>
        <v>368000</v>
      </c>
      <c r="F25" s="253">
        <f>+'B) Reajuste Tarifas y Ocupación'!P21</f>
        <v>394000</v>
      </c>
      <c r="G25" s="123">
        <f>+'B) Reajuste Tarifas y Ocupación'!Q21</f>
        <v>525200</v>
      </c>
      <c r="H25" s="183">
        <f>IFERROR(C25/$Q25,0)</f>
        <v>0.93857142857142861</v>
      </c>
      <c r="I25" s="184">
        <f>IFERROR(D25/$Q25,0)</f>
        <v>1.2671428571428571</v>
      </c>
      <c r="J25" s="184">
        <f>IFERROR(E25/$Q25,0)</f>
        <v>1.3142857142857143</v>
      </c>
      <c r="K25" s="184">
        <f>IFERROR(F25/$Q25,0)</f>
        <v>1.4071428571428573</v>
      </c>
      <c r="L25" s="178">
        <f>IFERROR(G25/$Q25,0)</f>
        <v>1.8757142857142857</v>
      </c>
      <c r="M25" s="816" t="s">
        <v>418</v>
      </c>
      <c r="N25" s="180">
        <v>200000</v>
      </c>
      <c r="O25" s="817" t="s">
        <v>416</v>
      </c>
      <c r="P25" s="180">
        <v>360000</v>
      </c>
      <c r="Q25" s="202">
        <f>AVERAGE(N25,P25)</f>
        <v>280000</v>
      </c>
    </row>
  </sheetData>
  <sheetProtection sheet="1" objects="1" scenarios="1"/>
  <mergeCells count="20">
    <mergeCell ref="Q21:Q22"/>
    <mergeCell ref="B21:B22"/>
    <mergeCell ref="C21:G21"/>
    <mergeCell ref="Q14:Q15"/>
    <mergeCell ref="D4:F4"/>
    <mergeCell ref="O14:P14"/>
    <mergeCell ref="A7:O9"/>
    <mergeCell ref="A12:D12"/>
    <mergeCell ref="H21:L21"/>
    <mergeCell ref="M21:N21"/>
    <mergeCell ref="O21:P21"/>
    <mergeCell ref="A16:A17"/>
    <mergeCell ref="A18:A19"/>
    <mergeCell ref="A23:A25"/>
    <mergeCell ref="A21:A22"/>
    <mergeCell ref="A14:A15"/>
    <mergeCell ref="B14:B15"/>
    <mergeCell ref="M14:N14"/>
    <mergeCell ref="C14:G14"/>
    <mergeCell ref="H14:L14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2025-09-08T20:08:23Z</cp:lastPrinted>
  <dcterms:created xsi:type="dcterms:W3CDTF">2017-05-11T00:45:10Z</dcterms:created>
  <dcterms:modified xsi:type="dcterms:W3CDTF">2025-11-19T18:01:17Z</dcterms:modified>
</cp:coreProperties>
</file>