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134268840\Desktop\TARIFAS 2026\A. EDUCACIONAL\PLANILLAS 2026 EDUBIEN\"/>
    </mc:Choice>
  </mc:AlternateContent>
  <xr:revisionPtr revIDLastSave="0" documentId="13_ncr:1_{6FABB856-5EC7-46E0-9505-36B7E092B905}" xr6:coauthVersionLast="47" xr6:coauthVersionMax="47" xr10:uidLastSave="{00000000-0000-0000-0000-000000000000}"/>
  <bookViews>
    <workbookView xWindow="-120" yWindow="-120" windowWidth="29040" windowHeight="15720" tabRatio="929" firstSheet="1" activeTab="2" xr2:uid="{00000000-000D-0000-FFFF-FFFF00000000}"/>
  </bookViews>
  <sheets>
    <sheet name="Instrucciones" sheetId="20" r:id="rId1"/>
    <sheet name="Índice Tablas" sheetId="11" r:id="rId2"/>
    <sheet name="A) Resumen Ingresos y Egresos" sheetId="2" r:id="rId3"/>
    <sheet name="B) Reajuste Tarifas y Ocupación" sheetId="7" r:id="rId4"/>
    <sheet name="C) Costos Directos" sheetId="3" r:id="rId5"/>
    <sheet name="D) Costos Indirectos" sheetId="13" r:id="rId6"/>
    <sheet name="E) Resumen Tarifado " sheetId="5" r:id="rId7"/>
    <sheet name="F) Remuneraciones" sheetId="12" r:id="rId8"/>
    <sheet name="H) Detalle Datos" sheetId="9" r:id="rId9"/>
    <sheet name="G) Comparación Mercado" sheetId="1" r:id="rId10"/>
    <sheet name="I) Proyección Mensual." sheetId="16" r:id="rId11"/>
  </sheets>
  <externalReferences>
    <externalReference r:id="rId12"/>
  </externalReferences>
  <definedNames>
    <definedName name="__xlnm_Print_Area">'A) Resumen Ingresos y Egresos'!$A$1:$N$32</definedName>
    <definedName name="__xlnm_Print_Area_1">'C) Costos Directos'!$A$1:$H$38</definedName>
    <definedName name="__xlnm_Print_Area_2">'E) Resumen Tarifado '!$A$4:$G$13</definedName>
    <definedName name="__xlnm_Print_Titles">'A) Resumen Ingresos y Egresos'!$1:$19</definedName>
    <definedName name="__xlnm_Print_Titles_1">'C) Costos Directos'!$1:$11</definedName>
    <definedName name="__xlnm_Print_Titles_2">NA()</definedName>
    <definedName name="_xlnm.Print_Area" localSheetId="2">'A) Resumen Ingresos y Egresos'!$A$1:$N$32</definedName>
    <definedName name="_xlnm.Print_Area" localSheetId="4">'C) Costos Directos'!$A$1:$H$75</definedName>
    <definedName name="_xlnm.Print_Area" localSheetId="6">'E) Resumen Tarifado '!$A$4:$G$13</definedName>
    <definedName name="bienique1">'A) Resumen Ingresos y Egresos'!$A$8</definedName>
    <definedName name="Excel_BuiltIn_Print_Area" localSheetId="4">'C) Costos Directos'!$A$1:$H$38</definedName>
    <definedName name="Excel_BuiltIn_Print_Area_1_1">NA()</definedName>
    <definedName name="Excel_BuiltIn_Print_Area_4_1">NA()</definedName>
    <definedName name="Excel_BuiltIn_Print_Area_5_1">NA()</definedName>
    <definedName name="Excel_BuiltIn_Print_Titles_4">NA()</definedName>
    <definedName name="Excel_BuiltIn_Print_Titles_5">NA()</definedName>
    <definedName name="_xlnm.Print_Titles" localSheetId="2">'A) Resumen Ingresos y Egresos'!$1:$19</definedName>
    <definedName name="_xlnm.Print_Titles" localSheetId="4">'C) Costos Directos'!$1:$11</definedName>
  </definedNames>
  <calcPr calcId="181029"/>
</workbook>
</file>

<file path=xl/calcChain.xml><?xml version="1.0" encoding="utf-8"?>
<calcChain xmlns="http://schemas.openxmlformats.org/spreadsheetml/2006/main">
  <c r="D20" i="3" l="1"/>
  <c r="D140" i="3" l="1"/>
  <c r="D85" i="3"/>
  <c r="D86" i="3"/>
  <c r="D19" i="3" l="1"/>
  <c r="D74" i="3"/>
  <c r="B29" i="9" l="1"/>
  <c r="J11" i="12" l="1"/>
  <c r="J18" i="12"/>
  <c r="K18" i="12" s="1"/>
  <c r="J12" i="12"/>
  <c r="K12" i="12" s="1"/>
  <c r="J13" i="12"/>
  <c r="K13" i="12" s="1"/>
  <c r="J14" i="12"/>
  <c r="K14" i="12" s="1"/>
  <c r="J15" i="12"/>
  <c r="K15" i="12" s="1"/>
  <c r="J16" i="12"/>
  <c r="K16" i="12" s="1"/>
  <c r="J17" i="12"/>
  <c r="K17" i="12" s="1"/>
  <c r="J19" i="12"/>
  <c r="K19" i="12" s="1"/>
  <c r="J20" i="12"/>
  <c r="K20" i="12" s="1"/>
  <c r="J21" i="12"/>
  <c r="K21" i="12" s="1"/>
  <c r="J22" i="12"/>
  <c r="K22" i="12"/>
  <c r="J23" i="12"/>
  <c r="K23" i="12" s="1"/>
  <c r="J24" i="12"/>
  <c r="K24" i="12" s="1"/>
  <c r="J25" i="12"/>
  <c r="K25" i="12" s="1"/>
  <c r="J26" i="12"/>
  <c r="K26" i="12" s="1"/>
  <c r="J27" i="12"/>
  <c r="K27" i="12" s="1"/>
  <c r="J28" i="12"/>
  <c r="K28" i="12" s="1"/>
  <c r="J29" i="12"/>
  <c r="K29" i="12" s="1"/>
  <c r="J30" i="12"/>
  <c r="K30" i="12" s="1"/>
  <c r="J31" i="12"/>
  <c r="K31" i="12" s="1"/>
  <c r="J32" i="12"/>
  <c r="K32" i="12" s="1"/>
  <c r="J33" i="12"/>
  <c r="K33" i="12" s="1"/>
  <c r="J34" i="12"/>
  <c r="K34" i="12" s="1"/>
  <c r="J35" i="12"/>
  <c r="K35" i="12" s="1"/>
  <c r="J36" i="12"/>
  <c r="K36" i="12"/>
  <c r="J37" i="12"/>
  <c r="K37" i="12" s="1"/>
  <c r="J38" i="12"/>
  <c r="K38" i="12" s="1"/>
  <c r="J39" i="12"/>
  <c r="K39" i="12" s="1"/>
  <c r="J40" i="12"/>
  <c r="K40" i="12" s="1"/>
  <c r="B17" i="1" l="1"/>
  <c r="Q17" i="1"/>
  <c r="B11" i="5"/>
  <c r="H11" i="5"/>
  <c r="I11" i="5"/>
  <c r="J11" i="5"/>
  <c r="K11" i="5"/>
  <c r="L11" i="5"/>
  <c r="H28" i="7"/>
  <c r="M24" i="2" l="1"/>
  <c r="L24" i="2"/>
  <c r="K24" i="2"/>
  <c r="J24" i="2"/>
  <c r="E24" i="2" s="1"/>
  <c r="I24" i="2"/>
  <c r="D24" i="2" s="1"/>
  <c r="G24" i="2"/>
  <c r="P25" i="2"/>
  <c r="B23" i="2"/>
  <c r="H24" i="2" l="1"/>
  <c r="F24" i="2"/>
  <c r="H16" i="5" l="1"/>
  <c r="L16" i="5"/>
  <c r="K16" i="5"/>
  <c r="J16" i="5"/>
  <c r="I16" i="5"/>
  <c r="C17" i="16"/>
  <c r="D17" i="16"/>
  <c r="E17" i="16"/>
  <c r="F17" i="16"/>
  <c r="G17" i="16"/>
  <c r="H17" i="16"/>
  <c r="I17" i="16"/>
  <c r="J17" i="16"/>
  <c r="K17" i="16"/>
  <c r="L17" i="16"/>
  <c r="M17" i="16"/>
  <c r="B17" i="16"/>
  <c r="C6" i="16"/>
  <c r="D6" i="16"/>
  <c r="E6" i="16"/>
  <c r="F6" i="16"/>
  <c r="G6" i="16"/>
  <c r="H6" i="16"/>
  <c r="I6" i="16"/>
  <c r="J6" i="16"/>
  <c r="K6" i="16"/>
  <c r="L6" i="16"/>
  <c r="M6" i="16"/>
  <c r="B6" i="16"/>
  <c r="K11" i="12"/>
  <c r="L11" i="12" s="1"/>
  <c r="C10" i="16" l="1"/>
  <c r="G10" i="16"/>
  <c r="K10" i="16"/>
  <c r="D10" i="16"/>
  <c r="H10" i="16"/>
  <c r="L10" i="16"/>
  <c r="E10" i="16"/>
  <c r="I10" i="16"/>
  <c r="M10" i="16"/>
  <c r="F10" i="16"/>
  <c r="J10" i="16"/>
  <c r="B10" i="16"/>
  <c r="J40" i="2" l="1"/>
  <c r="K40" i="2"/>
  <c r="F40" i="2" s="1"/>
  <c r="L40" i="2"/>
  <c r="G40" i="2" s="1"/>
  <c r="M40" i="2"/>
  <c r="H40" i="2" s="1"/>
  <c r="I40" i="2"/>
  <c r="P41" i="2"/>
  <c r="D41" i="2"/>
  <c r="M39" i="2"/>
  <c r="H39" i="2" s="1"/>
  <c r="L39" i="2"/>
  <c r="G39" i="2" s="1"/>
  <c r="K39" i="2"/>
  <c r="F39" i="2" s="1"/>
  <c r="J39" i="2"/>
  <c r="E39" i="2" s="1"/>
  <c r="I39" i="2"/>
  <c r="G41" i="2" l="1"/>
  <c r="H41" i="2"/>
  <c r="F41" i="2"/>
  <c r="I41" i="2"/>
  <c r="J41" i="2"/>
  <c r="L41" i="2"/>
  <c r="E40" i="2"/>
  <c r="E41" i="2" s="1"/>
  <c r="N10" i="16"/>
  <c r="M41" i="2"/>
  <c r="K41" i="2"/>
  <c r="N41" i="2" l="1"/>
  <c r="O41" i="2"/>
  <c r="Q41" i="2" l="1"/>
  <c r="A78" i="3"/>
  <c r="H14" i="5" l="1"/>
  <c r="W41" i="13"/>
  <c r="W46" i="13"/>
  <c r="J14" i="5" l="1"/>
  <c r="I14" i="5"/>
  <c r="K14" i="5" l="1"/>
  <c r="L14" i="5"/>
  <c r="P43" i="3" l="1"/>
  <c r="D119" i="3" s="1"/>
  <c r="O43" i="3"/>
  <c r="D53" i="3" s="1"/>
  <c r="P61" i="3"/>
  <c r="D138" i="3" s="1"/>
  <c r="O61" i="3"/>
  <c r="D72" i="3" s="1"/>
  <c r="P60" i="3"/>
  <c r="D137" i="3" s="1"/>
  <c r="O60" i="3"/>
  <c r="D71" i="3" s="1"/>
  <c r="P59" i="3"/>
  <c r="D136" i="3" s="1"/>
  <c r="O59" i="3"/>
  <c r="D70" i="3" s="1"/>
  <c r="P58" i="3"/>
  <c r="D135" i="3" s="1"/>
  <c r="O58" i="3"/>
  <c r="D69" i="3" s="1"/>
  <c r="P57" i="3"/>
  <c r="D134" i="3" s="1"/>
  <c r="O57" i="3"/>
  <c r="D68" i="3" s="1"/>
  <c r="P56" i="3"/>
  <c r="D133" i="3" s="1"/>
  <c r="O56" i="3"/>
  <c r="D67" i="3" s="1"/>
  <c r="P55" i="3"/>
  <c r="D132" i="3" s="1"/>
  <c r="O55" i="3"/>
  <c r="D66" i="3" s="1"/>
  <c r="P53" i="3"/>
  <c r="D130" i="3" s="1"/>
  <c r="O53" i="3"/>
  <c r="D64" i="3" s="1"/>
  <c r="P52" i="3"/>
  <c r="D129" i="3" s="1"/>
  <c r="O52" i="3"/>
  <c r="D63" i="3" s="1"/>
  <c r="P51" i="3"/>
  <c r="D128" i="3" s="1"/>
  <c r="O51" i="3"/>
  <c r="D62" i="3" s="1"/>
  <c r="P50" i="3"/>
  <c r="D126" i="3" s="1"/>
  <c r="O50" i="3"/>
  <c r="D60" i="3" s="1"/>
  <c r="P49" i="3"/>
  <c r="D125" i="3" s="1"/>
  <c r="O49" i="3"/>
  <c r="D59" i="3" s="1"/>
  <c r="P48" i="3"/>
  <c r="D124" i="3" s="1"/>
  <c r="O48" i="3"/>
  <c r="D58" i="3" s="1"/>
  <c r="P47" i="3"/>
  <c r="D123" i="3" s="1"/>
  <c r="O47" i="3"/>
  <c r="D57" i="3" s="1"/>
  <c r="P45" i="3"/>
  <c r="D121" i="3" s="1"/>
  <c r="O45" i="3"/>
  <c r="D55" i="3" s="1"/>
  <c r="P44" i="3"/>
  <c r="D120" i="3" s="1"/>
  <c r="O44" i="3"/>
  <c r="D54" i="3" s="1"/>
  <c r="P42" i="3"/>
  <c r="D118" i="3" s="1"/>
  <c r="O42" i="3"/>
  <c r="D52" i="3" s="1"/>
  <c r="P41" i="3"/>
  <c r="D117" i="3" s="1"/>
  <c r="O41" i="3"/>
  <c r="D51" i="3" s="1"/>
  <c r="P40" i="3"/>
  <c r="D116" i="3" s="1"/>
  <c r="O40" i="3"/>
  <c r="D50" i="3" s="1"/>
  <c r="P39" i="3"/>
  <c r="D115" i="3" s="1"/>
  <c r="P38" i="3"/>
  <c r="D114" i="3" s="1"/>
  <c r="O38" i="3"/>
  <c r="D48" i="3" s="1"/>
  <c r="P36" i="3"/>
  <c r="D112" i="3" s="1"/>
  <c r="O36" i="3"/>
  <c r="D46" i="3" s="1"/>
  <c r="P34" i="3"/>
  <c r="D110" i="3" s="1"/>
  <c r="O34" i="3"/>
  <c r="D44" i="3" s="1"/>
  <c r="P33" i="3"/>
  <c r="D109" i="3" s="1"/>
  <c r="D106" i="3" s="1"/>
  <c r="O33" i="3"/>
  <c r="D43" i="3" s="1"/>
  <c r="P30" i="3"/>
  <c r="D104" i="3" s="1"/>
  <c r="O30" i="3"/>
  <c r="D38" i="3" s="1"/>
  <c r="P29" i="3"/>
  <c r="D103" i="3" s="1"/>
  <c r="O29" i="3"/>
  <c r="D37" i="3" s="1"/>
  <c r="P28" i="3"/>
  <c r="D102" i="3" s="1"/>
  <c r="O28" i="3"/>
  <c r="D36" i="3" s="1"/>
  <c r="P27" i="3"/>
  <c r="D101" i="3" s="1"/>
  <c r="O27" i="3"/>
  <c r="D35" i="3" s="1"/>
  <c r="P26" i="3"/>
  <c r="D100" i="3" s="1"/>
  <c r="O26" i="3"/>
  <c r="D34" i="3" s="1"/>
  <c r="P25" i="3"/>
  <c r="D99" i="3" s="1"/>
  <c r="O25" i="3"/>
  <c r="D33" i="3" s="1"/>
  <c r="P24" i="3"/>
  <c r="D98" i="3" s="1"/>
  <c r="P23" i="3"/>
  <c r="D97" i="3" s="1"/>
  <c r="O23" i="3"/>
  <c r="D31" i="3" s="1"/>
  <c r="P22" i="3"/>
  <c r="D96" i="3" s="1"/>
  <c r="O22" i="3"/>
  <c r="D30" i="3" s="1"/>
  <c r="P21" i="3"/>
  <c r="D95" i="3" s="1"/>
  <c r="O21" i="3"/>
  <c r="D29" i="3" s="1"/>
  <c r="P20" i="3"/>
  <c r="D94" i="3" s="1"/>
  <c r="O20" i="3"/>
  <c r="D28" i="3" s="1"/>
  <c r="P19" i="3"/>
  <c r="D93" i="3" s="1"/>
  <c r="O19" i="3"/>
  <c r="D27" i="3" s="1"/>
  <c r="P18" i="3"/>
  <c r="D92" i="3" s="1"/>
  <c r="O18" i="3"/>
  <c r="D26" i="3" s="1"/>
  <c r="P17" i="3"/>
  <c r="D91" i="3" s="1"/>
  <c r="P16" i="3"/>
  <c r="D90" i="3" s="1"/>
  <c r="O16" i="3"/>
  <c r="D24" i="3" s="1"/>
  <c r="P15" i="3"/>
  <c r="D89" i="3" s="1"/>
  <c r="O15" i="3"/>
  <c r="D23" i="3" s="1"/>
  <c r="P14" i="3"/>
  <c r="D88" i="3" s="1"/>
  <c r="O14" i="3"/>
  <c r="D22" i="3" s="1"/>
  <c r="G140" i="3"/>
  <c r="G139" i="3" s="1"/>
  <c r="D139" i="3"/>
  <c r="G138" i="3"/>
  <c r="G137" i="3"/>
  <c r="G136" i="3"/>
  <c r="G135" i="3"/>
  <c r="G134" i="3"/>
  <c r="G133" i="3"/>
  <c r="G132" i="3"/>
  <c r="G130" i="3"/>
  <c r="G129" i="3"/>
  <c r="G128" i="3"/>
  <c r="G126" i="3"/>
  <c r="G125" i="3"/>
  <c r="G124" i="3"/>
  <c r="G123" i="3"/>
  <c r="G121" i="3"/>
  <c r="G120" i="3"/>
  <c r="G119" i="3"/>
  <c r="G118" i="3"/>
  <c r="G117" i="3"/>
  <c r="G116" i="3"/>
  <c r="G115" i="3"/>
  <c r="G114" i="3"/>
  <c r="G112" i="3"/>
  <c r="G111" i="3" s="1"/>
  <c r="D111" i="3"/>
  <c r="G110" i="3"/>
  <c r="H110" i="3" s="1"/>
  <c r="G109" i="3"/>
  <c r="G108" i="3"/>
  <c r="H108" i="3" s="1"/>
  <c r="G107" i="3"/>
  <c r="H107" i="3" s="1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H87" i="3" s="1"/>
  <c r="G86" i="3"/>
  <c r="H86" i="3" s="1"/>
  <c r="G85" i="3"/>
  <c r="H85" i="3" s="1"/>
  <c r="G83" i="3"/>
  <c r="H83" i="3" s="1"/>
  <c r="G82" i="3"/>
  <c r="G81" i="3"/>
  <c r="H81" i="3" s="1"/>
  <c r="G80" i="3"/>
  <c r="H109" i="3" l="1"/>
  <c r="H89" i="3"/>
  <c r="H90" i="3"/>
  <c r="H100" i="3"/>
  <c r="H115" i="3"/>
  <c r="H133" i="3"/>
  <c r="H137" i="3"/>
  <c r="H135" i="3"/>
  <c r="D122" i="3"/>
  <c r="D131" i="3"/>
  <c r="H88" i="3"/>
  <c r="H104" i="3"/>
  <c r="H114" i="3"/>
  <c r="D113" i="3"/>
  <c r="H93" i="3"/>
  <c r="H97" i="3"/>
  <c r="H101" i="3"/>
  <c r="H124" i="3"/>
  <c r="H128" i="3"/>
  <c r="H94" i="3"/>
  <c r="H98" i="3"/>
  <c r="H120" i="3"/>
  <c r="H91" i="3"/>
  <c r="H95" i="3"/>
  <c r="H103" i="3"/>
  <c r="H117" i="3"/>
  <c r="H121" i="3"/>
  <c r="H126" i="3"/>
  <c r="H130" i="3"/>
  <c r="H138" i="3"/>
  <c r="H136" i="3"/>
  <c r="H134" i="3"/>
  <c r="H125" i="3"/>
  <c r="H129" i="3"/>
  <c r="H119" i="3"/>
  <c r="H116" i="3"/>
  <c r="H118" i="3"/>
  <c r="H102" i="3"/>
  <c r="H99" i="3"/>
  <c r="D84" i="3"/>
  <c r="H92" i="3"/>
  <c r="H96" i="3"/>
  <c r="G79" i="3"/>
  <c r="O39" i="3"/>
  <c r="D49" i="3" s="1"/>
  <c r="O24" i="3"/>
  <c r="D32" i="3" s="1"/>
  <c r="O17" i="3"/>
  <c r="D25" i="3" s="1"/>
  <c r="G113" i="3"/>
  <c r="G131" i="3"/>
  <c r="G106" i="3"/>
  <c r="H106" i="3"/>
  <c r="G84" i="3"/>
  <c r="H132" i="3"/>
  <c r="H112" i="3"/>
  <c r="H111" i="3" s="1"/>
  <c r="H123" i="3"/>
  <c r="H140" i="3"/>
  <c r="H139" i="3" s="1"/>
  <c r="D18" i="3" l="1"/>
  <c r="H131" i="3"/>
  <c r="H113" i="3"/>
  <c r="H84" i="3"/>
  <c r="G78" i="3"/>
  <c r="B26" i="12" l="1"/>
  <c r="A14" i="5"/>
  <c r="B16" i="5"/>
  <c r="B15" i="5"/>
  <c r="B14" i="5"/>
  <c r="A33" i="2"/>
  <c r="A19" i="16" s="1"/>
  <c r="A10" i="2"/>
  <c r="J34" i="2"/>
  <c r="K34" i="2"/>
  <c r="F34" i="2" s="1"/>
  <c r="L34" i="2"/>
  <c r="G34" i="2" s="1"/>
  <c r="M34" i="2"/>
  <c r="H34" i="2" s="1"/>
  <c r="I34" i="2"/>
  <c r="B39" i="2"/>
  <c r="P38" i="2"/>
  <c r="M38" i="2"/>
  <c r="J38" i="2"/>
  <c r="I38" i="2"/>
  <c r="E38" i="2"/>
  <c r="D38" i="2"/>
  <c r="L38" i="2"/>
  <c r="F38" i="2"/>
  <c r="H38" i="2"/>
  <c r="G38" i="2"/>
  <c r="B36" i="2"/>
  <c r="P35" i="2"/>
  <c r="D35" i="2"/>
  <c r="B33" i="2"/>
  <c r="B31" i="7"/>
  <c r="B32" i="7"/>
  <c r="B33" i="7"/>
  <c r="A31" i="7"/>
  <c r="H33" i="7"/>
  <c r="H31" i="7"/>
  <c r="I33" i="7" l="1"/>
  <c r="F127" i="3" s="1"/>
  <c r="G127" i="3" s="1"/>
  <c r="L26" i="12"/>
  <c r="E34" i="2"/>
  <c r="D42" i="2"/>
  <c r="P42" i="2"/>
  <c r="D10" i="2" s="1"/>
  <c r="N38" i="2"/>
  <c r="K38" i="2"/>
  <c r="O38" i="2" s="1"/>
  <c r="D21" i="16" l="1"/>
  <c r="H21" i="16"/>
  <c r="L21" i="16"/>
  <c r="E21" i="16"/>
  <c r="I21" i="16"/>
  <c r="M21" i="16"/>
  <c r="F21" i="16"/>
  <c r="J21" i="16"/>
  <c r="B21" i="16"/>
  <c r="C21" i="16"/>
  <c r="G21" i="16"/>
  <c r="K21" i="16"/>
  <c r="H127" i="3"/>
  <c r="H122" i="3" s="1"/>
  <c r="H105" i="3" s="1"/>
  <c r="G122" i="3"/>
  <c r="G105" i="3" s="1"/>
  <c r="G141" i="3" s="1"/>
  <c r="G16" i="16"/>
  <c r="K16" i="16"/>
  <c r="F16" i="16"/>
  <c r="H16" i="16"/>
  <c r="L16" i="16"/>
  <c r="E16" i="16"/>
  <c r="I16" i="16"/>
  <c r="M16" i="16"/>
  <c r="J16" i="16"/>
  <c r="D16" i="16"/>
  <c r="D80" i="3"/>
  <c r="H80" i="3" s="1"/>
  <c r="L41" i="12"/>
  <c r="H82" i="3"/>
  <c r="Q38" i="2"/>
  <c r="N21" i="16" l="1"/>
  <c r="K140" i="3"/>
  <c r="D79" i="3"/>
  <c r="D78" i="3" s="1"/>
  <c r="D141" i="3" s="1"/>
  <c r="H79" i="3"/>
  <c r="H78" i="3" s="1"/>
  <c r="H141" i="3" s="1"/>
  <c r="F10" i="2" l="1"/>
  <c r="D22" i="16"/>
  <c r="H22" i="16"/>
  <c r="L22" i="16"/>
  <c r="E22" i="16"/>
  <c r="I22" i="16"/>
  <c r="M22" i="16"/>
  <c r="F22" i="16"/>
  <c r="J22" i="16"/>
  <c r="B22" i="16"/>
  <c r="C22" i="16"/>
  <c r="G22" i="16"/>
  <c r="K22" i="16"/>
  <c r="H13" i="5" l="1"/>
  <c r="I13" i="5"/>
  <c r="J13" i="5"/>
  <c r="K13" i="5"/>
  <c r="L13" i="5"/>
  <c r="B26" i="2" l="1"/>
  <c r="J27" i="2" l="1"/>
  <c r="K27" i="2"/>
  <c r="L27" i="2"/>
  <c r="M27" i="2"/>
  <c r="I27" i="2"/>
  <c r="Q18" i="1"/>
  <c r="B18" i="1"/>
  <c r="H12" i="5"/>
  <c r="I12" i="5"/>
  <c r="J12" i="5"/>
  <c r="K12" i="5"/>
  <c r="L12" i="5"/>
  <c r="B12" i="5"/>
  <c r="P26" i="2"/>
  <c r="H29" i="7"/>
  <c r="B29" i="7" l="1"/>
  <c r="B30" i="7"/>
  <c r="P28" i="2" l="1"/>
  <c r="G27" i="2"/>
  <c r="E27" i="2"/>
  <c r="F27" i="2" l="1"/>
  <c r="D27" i="2"/>
  <c r="H27" i="2"/>
  <c r="G20" i="3" l="1"/>
  <c r="H20" i="3" s="1"/>
  <c r="G21" i="3"/>
  <c r="H21" i="3" s="1"/>
  <c r="S16" i="13" l="1"/>
  <c r="S17" i="13"/>
  <c r="S18" i="13"/>
  <c r="S19" i="13"/>
  <c r="S20" i="13"/>
  <c r="S21" i="13"/>
  <c r="S22" i="13"/>
  <c r="S23" i="13"/>
  <c r="S24" i="13"/>
  <c r="S25" i="13"/>
  <c r="S26" i="13"/>
  <c r="S27" i="13"/>
  <c r="S28" i="13"/>
  <c r="S29" i="13"/>
  <c r="S30" i="13"/>
  <c r="S31" i="13"/>
  <c r="S32" i="13"/>
  <c r="S33" i="13"/>
  <c r="S34" i="13"/>
  <c r="S35" i="13"/>
  <c r="S36" i="13"/>
  <c r="S37" i="13"/>
  <c r="S38" i="13"/>
  <c r="S39" i="13"/>
  <c r="S40" i="13"/>
  <c r="S41" i="13"/>
  <c r="S42" i="13"/>
  <c r="S43" i="13"/>
  <c r="S44" i="13"/>
  <c r="S45" i="13"/>
  <c r="S46" i="13"/>
  <c r="S47" i="13"/>
  <c r="S48" i="13"/>
  <c r="S49" i="13"/>
  <c r="S50" i="13"/>
  <c r="S51" i="13"/>
  <c r="S52" i="13"/>
  <c r="S53" i="13"/>
  <c r="S54" i="13"/>
  <c r="S55" i="13"/>
  <c r="S56" i="13"/>
  <c r="S57" i="13"/>
  <c r="S58" i="13"/>
  <c r="S59" i="13"/>
  <c r="S60" i="13"/>
  <c r="S61" i="13"/>
  <c r="S15" i="13"/>
  <c r="J48" i="13"/>
  <c r="K48" i="13" s="1"/>
  <c r="J47" i="13"/>
  <c r="K47" i="13" s="1"/>
  <c r="J46" i="13"/>
  <c r="K46" i="13" s="1"/>
  <c r="R46" i="13" s="1"/>
  <c r="J45" i="13"/>
  <c r="K45" i="13" s="1"/>
  <c r="J44" i="13"/>
  <c r="K44" i="13" s="1"/>
  <c r="J43" i="13"/>
  <c r="K43" i="13" s="1"/>
  <c r="J42" i="13"/>
  <c r="K42" i="13" s="1"/>
  <c r="R42" i="13" s="1"/>
  <c r="J41" i="13"/>
  <c r="K41" i="13" s="1"/>
  <c r="J53" i="13"/>
  <c r="K53" i="13" s="1"/>
  <c r="R53" i="13" s="1"/>
  <c r="J52" i="13"/>
  <c r="K52" i="13" s="1"/>
  <c r="J51" i="13"/>
  <c r="K51" i="13" s="1"/>
  <c r="J50" i="13"/>
  <c r="K50" i="13" s="1"/>
  <c r="R45" i="13" l="1"/>
  <c r="P45" i="13"/>
  <c r="N45" i="13"/>
  <c r="N48" i="13"/>
  <c r="R48" i="13"/>
  <c r="P48" i="13"/>
  <c r="P43" i="13"/>
  <c r="N43" i="13"/>
  <c r="R43" i="13"/>
  <c r="R41" i="13"/>
  <c r="P41" i="13"/>
  <c r="N41" i="13"/>
  <c r="N44" i="13"/>
  <c r="R44" i="13"/>
  <c r="P44" i="13"/>
  <c r="P47" i="13"/>
  <c r="N47" i="13"/>
  <c r="R47" i="13"/>
  <c r="N42" i="13"/>
  <c r="N46" i="13"/>
  <c r="P42" i="13"/>
  <c r="P46" i="13"/>
  <c r="N51" i="13"/>
  <c r="R51" i="13"/>
  <c r="P51" i="13"/>
  <c r="R52" i="13"/>
  <c r="P52" i="13"/>
  <c r="N52" i="13"/>
  <c r="P50" i="13"/>
  <c r="N50" i="13"/>
  <c r="R50" i="13"/>
  <c r="N53" i="13"/>
  <c r="P53" i="13"/>
  <c r="Q16" i="1"/>
  <c r="J10" i="5"/>
  <c r="K10" i="5"/>
  <c r="L10" i="5"/>
  <c r="W78" i="13"/>
  <c r="W70" i="13"/>
  <c r="W60" i="13"/>
  <c r="W49" i="13"/>
  <c r="W20" i="13"/>
  <c r="W16" i="13"/>
  <c r="J69" i="13"/>
  <c r="K69" i="13" s="1"/>
  <c r="J68" i="13"/>
  <c r="K68" i="13" s="1"/>
  <c r="J67" i="13"/>
  <c r="K67" i="13" s="1"/>
  <c r="J66" i="13"/>
  <c r="K66" i="13" s="1"/>
  <c r="J65" i="13"/>
  <c r="K65" i="13" s="1"/>
  <c r="J61" i="13"/>
  <c r="K61" i="13" s="1"/>
  <c r="J60" i="13"/>
  <c r="K60" i="13" s="1"/>
  <c r="J59" i="13"/>
  <c r="K59" i="13" s="1"/>
  <c r="J58" i="13"/>
  <c r="K58" i="13" s="1"/>
  <c r="J57" i="13"/>
  <c r="K57" i="13" s="1"/>
  <c r="J56" i="13"/>
  <c r="K56" i="13" s="1"/>
  <c r="J55" i="13"/>
  <c r="K55" i="13" s="1"/>
  <c r="J54" i="13"/>
  <c r="K54" i="13" s="1"/>
  <c r="J49" i="13"/>
  <c r="K49" i="13" s="1"/>
  <c r="P49" i="13" s="1"/>
  <c r="J40" i="13"/>
  <c r="K40" i="13" s="1"/>
  <c r="J39" i="13"/>
  <c r="K39" i="13" s="1"/>
  <c r="J38" i="13"/>
  <c r="K38" i="13" s="1"/>
  <c r="R38" i="13" s="1"/>
  <c r="J37" i="13"/>
  <c r="K37" i="13" s="1"/>
  <c r="J36" i="13"/>
  <c r="K36" i="13" s="1"/>
  <c r="J35" i="13"/>
  <c r="K35" i="13" s="1"/>
  <c r="J34" i="13"/>
  <c r="K34" i="13" s="1"/>
  <c r="J33" i="13"/>
  <c r="K33" i="13" s="1"/>
  <c r="J32" i="13"/>
  <c r="K32" i="13" s="1"/>
  <c r="J31" i="13"/>
  <c r="K31" i="13" s="1"/>
  <c r="J30" i="13"/>
  <c r="K30" i="13" s="1"/>
  <c r="J29" i="13"/>
  <c r="K29" i="13" s="1"/>
  <c r="J28" i="13"/>
  <c r="K28" i="13" s="1"/>
  <c r="J27" i="13"/>
  <c r="K27" i="13" s="1"/>
  <c r="J26" i="13"/>
  <c r="K26" i="13" s="1"/>
  <c r="J25" i="13"/>
  <c r="K25" i="13" s="1"/>
  <c r="J24" i="13"/>
  <c r="K24" i="13" s="1"/>
  <c r="J23" i="13"/>
  <c r="K23" i="13" s="1"/>
  <c r="J22" i="13"/>
  <c r="K22" i="13" s="1"/>
  <c r="J21" i="13"/>
  <c r="K21" i="13" s="1"/>
  <c r="J20" i="13"/>
  <c r="K20" i="13" s="1"/>
  <c r="J19" i="13"/>
  <c r="K19" i="13" s="1"/>
  <c r="J18" i="13"/>
  <c r="K18" i="13" s="1"/>
  <c r="J17" i="13"/>
  <c r="K17" i="13" s="1"/>
  <c r="J16" i="13"/>
  <c r="K16" i="13" s="1"/>
  <c r="J15" i="13"/>
  <c r="K15" i="13" s="1"/>
  <c r="E4" i="13"/>
  <c r="W40" i="13" l="1"/>
  <c r="K70" i="13"/>
  <c r="K62" i="13"/>
  <c r="N15" i="13"/>
  <c r="P15" i="13"/>
  <c r="W15" i="13"/>
  <c r="R34" i="13"/>
  <c r="P60" i="13"/>
  <c r="P61" i="13"/>
  <c r="N57" i="13"/>
  <c r="R61" i="13"/>
  <c r="P57" i="13"/>
  <c r="P56" i="13"/>
  <c r="N56" i="13"/>
  <c r="N28" i="13"/>
  <c r="P28" i="13"/>
  <c r="R19" i="13"/>
  <c r="P22" i="13"/>
  <c r="N25" i="13"/>
  <c r="N29" i="13"/>
  <c r="N37" i="13"/>
  <c r="R22" i="13"/>
  <c r="P25" i="13"/>
  <c r="P29" i="13"/>
  <c r="R33" i="13"/>
  <c r="R37" i="13"/>
  <c r="R57" i="13"/>
  <c r="R29" i="13"/>
  <c r="R15" i="13"/>
  <c r="R17" i="13"/>
  <c r="P17" i="13"/>
  <c r="N17" i="13"/>
  <c r="N18" i="13"/>
  <c r="P18" i="13"/>
  <c r="P55" i="13"/>
  <c r="N55" i="13"/>
  <c r="R55" i="13"/>
  <c r="R16" i="13"/>
  <c r="P16" i="13"/>
  <c r="N16" i="13"/>
  <c r="R18" i="13"/>
  <c r="P21" i="13"/>
  <c r="R21" i="13"/>
  <c r="N21" i="13"/>
  <c r="N26" i="13"/>
  <c r="P26" i="13"/>
  <c r="R26" i="13"/>
  <c r="N30" i="13"/>
  <c r="R30" i="13"/>
  <c r="P30" i="13"/>
  <c r="P31" i="13"/>
  <c r="R31" i="13"/>
  <c r="N31" i="13"/>
  <c r="P39" i="13"/>
  <c r="R39" i="13"/>
  <c r="N39" i="13"/>
  <c r="R40" i="13"/>
  <c r="P40" i="13"/>
  <c r="N40" i="13"/>
  <c r="N54" i="13"/>
  <c r="P54" i="13"/>
  <c r="R32" i="13"/>
  <c r="N32" i="13"/>
  <c r="P32" i="13"/>
  <c r="R54" i="13"/>
  <c r="P59" i="13"/>
  <c r="R59" i="13"/>
  <c r="N59" i="13"/>
  <c r="P27" i="13"/>
  <c r="N27" i="13"/>
  <c r="R27" i="13"/>
  <c r="R36" i="13"/>
  <c r="P36" i="13"/>
  <c r="N36" i="13"/>
  <c r="N58" i="13"/>
  <c r="R58" i="13"/>
  <c r="P58" i="13"/>
  <c r="R20" i="13"/>
  <c r="P20" i="13"/>
  <c r="P23" i="13"/>
  <c r="R24" i="13"/>
  <c r="P35" i="13"/>
  <c r="P19" i="13"/>
  <c r="N20" i="13"/>
  <c r="N23" i="13"/>
  <c r="N24" i="13"/>
  <c r="N33" i="13"/>
  <c r="N34" i="13"/>
  <c r="N35" i="13"/>
  <c r="N38" i="13"/>
  <c r="R49" i="13"/>
  <c r="N19" i="13"/>
  <c r="N22" i="13"/>
  <c r="R23" i="13"/>
  <c r="P24" i="13"/>
  <c r="R25" i="13"/>
  <c r="P33" i="13"/>
  <c r="P34" i="13"/>
  <c r="R35" i="13"/>
  <c r="P37" i="13"/>
  <c r="P38" i="13"/>
  <c r="N49" i="13"/>
  <c r="R60" i="13"/>
  <c r="R28" i="13"/>
  <c r="R56" i="13"/>
  <c r="N60" i="13"/>
  <c r="N61" i="13"/>
  <c r="I21" i="2"/>
  <c r="R62" i="13" l="1"/>
  <c r="P62" i="13"/>
  <c r="N62" i="13"/>
  <c r="W80" i="13"/>
  <c r="O62" i="13" l="1"/>
  <c r="AB15" i="13" s="1"/>
  <c r="AI15" i="13" s="1"/>
  <c r="AJ15" i="13" s="1"/>
  <c r="AC15" i="13"/>
  <c r="M62" i="13"/>
  <c r="Z15" i="13" s="1"/>
  <c r="AG15" i="13" s="1"/>
  <c r="AH15" i="13" s="1"/>
  <c r="AA15" i="13"/>
  <c r="Q62" i="13"/>
  <c r="AD15" i="13" s="1"/>
  <c r="AK15" i="13" s="1"/>
  <c r="AL15" i="13" s="1"/>
  <c r="AE15" i="13"/>
  <c r="AP15" i="13" l="1"/>
  <c r="AN15" i="13"/>
  <c r="AR15" i="13"/>
  <c r="P20" i="2" l="1"/>
  <c r="P29" i="2" l="1"/>
  <c r="P31" i="2" s="1"/>
  <c r="P22" i="2" l="1"/>
  <c r="P32" i="2" l="1"/>
  <c r="B9" i="16" s="1"/>
  <c r="K30" i="2"/>
  <c r="F30" i="2" s="1"/>
  <c r="K21" i="2"/>
  <c r="F21" i="2" s="1"/>
  <c r="H27" i="7"/>
  <c r="P43" i="2" l="1"/>
  <c r="D9" i="2" l="1"/>
  <c r="D11" i="2" s="1"/>
  <c r="E4" i="12" l="1"/>
  <c r="B11" i="12"/>
  <c r="D14" i="3" l="1"/>
  <c r="J30" i="2" l="1"/>
  <c r="E30" i="2" s="1"/>
  <c r="L30" i="2"/>
  <c r="M30" i="2"/>
  <c r="I30" i="2"/>
  <c r="J21" i="2"/>
  <c r="E21" i="2" s="1"/>
  <c r="L21" i="2"/>
  <c r="G21" i="2" s="1"/>
  <c r="M21" i="2"/>
  <c r="D21" i="2"/>
  <c r="B29" i="2"/>
  <c r="B20" i="2"/>
  <c r="I10" i="5"/>
  <c r="H10" i="5"/>
  <c r="B13" i="5"/>
  <c r="G74" i="3"/>
  <c r="H74" i="3" s="1"/>
  <c r="G72" i="3"/>
  <c r="H72" i="3" s="1"/>
  <c r="G71" i="3"/>
  <c r="H71" i="3" s="1"/>
  <c r="G70" i="3"/>
  <c r="H70" i="3" s="1"/>
  <c r="G69" i="3"/>
  <c r="H69" i="3" s="1"/>
  <c r="G68" i="3"/>
  <c r="H68" i="3" s="1"/>
  <c r="G67" i="3"/>
  <c r="H67" i="3" s="1"/>
  <c r="G66" i="3"/>
  <c r="H66" i="3" s="1"/>
  <c r="G64" i="3"/>
  <c r="H64" i="3" s="1"/>
  <c r="G63" i="3"/>
  <c r="H63" i="3" s="1"/>
  <c r="G62" i="3"/>
  <c r="H62" i="3" s="1"/>
  <c r="G60" i="3"/>
  <c r="H60" i="3" s="1"/>
  <c r="G59" i="3"/>
  <c r="H59" i="3" s="1"/>
  <c r="G58" i="3"/>
  <c r="H58" i="3" s="1"/>
  <c r="G57" i="3"/>
  <c r="H57" i="3" s="1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B19" i="1"/>
  <c r="B16" i="1"/>
  <c r="H30" i="7"/>
  <c r="A27" i="7"/>
  <c r="B27" i="7"/>
  <c r="A16" i="1"/>
  <c r="C8" i="2"/>
  <c r="B8" i="2"/>
  <c r="I30" i="7" l="1"/>
  <c r="F61" i="3" s="1"/>
  <c r="G61" i="3" s="1"/>
  <c r="H61" i="3" s="1"/>
  <c r="J5" i="16"/>
  <c r="D5" i="16"/>
  <c r="G5" i="16"/>
  <c r="K5" i="16"/>
  <c r="H5" i="16"/>
  <c r="L5" i="16"/>
  <c r="I5" i="16"/>
  <c r="H21" i="2"/>
  <c r="D30" i="2"/>
  <c r="H30" i="2"/>
  <c r="G30" i="2"/>
  <c r="F5" i="16" l="1"/>
  <c r="M5" i="16"/>
  <c r="E5" i="16"/>
  <c r="J4" i="9" l="1"/>
  <c r="Q19" i="1" l="1"/>
  <c r="G4" i="5" l="1"/>
  <c r="D4" i="1"/>
  <c r="B10" i="5" l="1"/>
  <c r="A10" i="5"/>
  <c r="A20" i="2" l="1"/>
  <c r="A8" i="16" s="1"/>
  <c r="A9" i="2"/>
  <c r="A12" i="3"/>
  <c r="D65" i="3" l="1"/>
  <c r="G65" i="3"/>
  <c r="H65" i="3"/>
  <c r="G46" i="3" l="1"/>
  <c r="H46" i="3" s="1"/>
  <c r="H73" i="3" l="1"/>
  <c r="G73" i="3"/>
  <c r="D73" i="3"/>
  <c r="H56" i="3"/>
  <c r="G56" i="3"/>
  <c r="D56" i="3"/>
  <c r="H47" i="3"/>
  <c r="G47" i="3"/>
  <c r="D47" i="3"/>
  <c r="H45" i="3"/>
  <c r="G45" i="3"/>
  <c r="D45" i="3"/>
  <c r="D40" i="3" l="1"/>
  <c r="G43" i="3"/>
  <c r="H43" i="3" s="1"/>
  <c r="G44" i="3"/>
  <c r="H44" i="3" s="1"/>
  <c r="G42" i="3" l="1"/>
  <c r="H42" i="3" s="1"/>
  <c r="G41" i="3"/>
  <c r="G16" i="3"/>
  <c r="H16" i="3" s="1"/>
  <c r="G17" i="3"/>
  <c r="H17" i="3" s="1"/>
  <c r="G19" i="3"/>
  <c r="G22" i="3"/>
  <c r="H22" i="3" s="1"/>
  <c r="G23" i="3"/>
  <c r="H23" i="3" s="1"/>
  <c r="G24" i="3"/>
  <c r="H24" i="3" s="1"/>
  <c r="G25" i="3"/>
  <c r="H25" i="3" s="1"/>
  <c r="G26" i="3"/>
  <c r="H26" i="3" s="1"/>
  <c r="G27" i="3"/>
  <c r="H27" i="3" s="1"/>
  <c r="G28" i="3"/>
  <c r="G29" i="3"/>
  <c r="H29" i="3" s="1"/>
  <c r="G30" i="3"/>
  <c r="H30" i="3" s="1"/>
  <c r="G31" i="3"/>
  <c r="H31" i="3" s="1"/>
  <c r="G32" i="3"/>
  <c r="H32" i="3" s="1"/>
  <c r="G33" i="3"/>
  <c r="H33" i="3" s="1"/>
  <c r="G34" i="3"/>
  <c r="H34" i="3" s="1"/>
  <c r="G35" i="3"/>
  <c r="H35" i="3" s="1"/>
  <c r="G36" i="3"/>
  <c r="H36" i="3" s="1"/>
  <c r="G37" i="3"/>
  <c r="H37" i="3" s="1"/>
  <c r="G38" i="3"/>
  <c r="H38" i="3" s="1"/>
  <c r="H28" i="3" l="1"/>
  <c r="K74" i="3" s="1"/>
  <c r="G18" i="3"/>
  <c r="H41" i="3"/>
  <c r="H40" i="3" s="1"/>
  <c r="H39" i="3" s="1"/>
  <c r="G40" i="3"/>
  <c r="G39" i="3" s="1"/>
  <c r="H19" i="3"/>
  <c r="H18" i="3" l="1"/>
  <c r="G14" i="3"/>
  <c r="G15" i="3" l="1"/>
  <c r="A9" i="5"/>
  <c r="B9" i="5"/>
  <c r="H15" i="3" l="1"/>
  <c r="G13" i="3"/>
  <c r="G12" i="3" l="1"/>
  <c r="G75" i="3" s="1"/>
  <c r="H14" i="3" l="1"/>
  <c r="H13" i="3" s="1"/>
  <c r="D13" i="3"/>
  <c r="H12" i="3" l="1"/>
  <c r="H75" i="3" s="1"/>
  <c r="D12" i="3"/>
  <c r="D75" i="3" s="1"/>
  <c r="D11" i="16" l="1"/>
  <c r="H11" i="16"/>
  <c r="L11" i="16"/>
  <c r="E11" i="16"/>
  <c r="I11" i="16"/>
  <c r="M11" i="16"/>
  <c r="F11" i="16"/>
  <c r="J11" i="16"/>
  <c r="B11" i="16"/>
  <c r="B12" i="16" s="1"/>
  <c r="C11" i="16"/>
  <c r="G11" i="16"/>
  <c r="K11" i="16"/>
  <c r="K75" i="3"/>
  <c r="H142" i="3"/>
  <c r="K141" i="3" s="1"/>
  <c r="F9" i="2"/>
  <c r="F11" i="2" l="1"/>
  <c r="G10" i="2" s="1"/>
  <c r="G9" i="2" l="1"/>
  <c r="H9" i="2" s="1"/>
  <c r="G11" i="2" l="1"/>
  <c r="L9" i="2" s="1"/>
  <c r="H10" i="2"/>
  <c r="L10" i="2" l="1"/>
  <c r="L11" i="2" s="1"/>
  <c r="H11" i="2"/>
  <c r="N22" i="16" l="1"/>
  <c r="N11" i="16" l="1"/>
  <c r="I18" i="7" l="1"/>
  <c r="J16" i="7"/>
  <c r="T14" i="5" s="1"/>
  <c r="I15" i="7"/>
  <c r="J14" i="7"/>
  <c r="T12" i="5" s="1"/>
  <c r="K13" i="7"/>
  <c r="K12" i="7"/>
  <c r="U10" i="5" s="1"/>
  <c r="R14" i="5" l="1"/>
  <c r="I16" i="7"/>
  <c r="L16" i="7"/>
  <c r="V14" i="5" s="1"/>
  <c r="K14" i="7"/>
  <c r="I14" i="7"/>
  <c r="R12" i="5"/>
  <c r="M14" i="7"/>
  <c r="C18" i="1" s="1"/>
  <c r="H18" i="1" s="1"/>
  <c r="L14" i="7"/>
  <c r="P12" i="7"/>
  <c r="F10" i="5" s="1"/>
  <c r="R10" i="5"/>
  <c r="I12" i="7"/>
  <c r="S10" i="5" s="1"/>
  <c r="L12" i="7"/>
  <c r="J12" i="7"/>
  <c r="L18" i="7"/>
  <c r="K18" i="7"/>
  <c r="J18" i="7"/>
  <c r="R16" i="5"/>
  <c r="M18" i="7"/>
  <c r="C16" i="5" s="1"/>
  <c r="L15" i="7"/>
  <c r="K15" i="7"/>
  <c r="M15" i="7"/>
  <c r="J15" i="7"/>
  <c r="R13" i="5"/>
  <c r="U11" i="5"/>
  <c r="P13" i="7"/>
  <c r="S16" i="5"/>
  <c r="N18" i="7"/>
  <c r="D16" i="5" s="1"/>
  <c r="J13" i="7"/>
  <c r="M13" i="7"/>
  <c r="I13" i="7"/>
  <c r="L13" i="7"/>
  <c r="R11" i="5"/>
  <c r="S13" i="5"/>
  <c r="N15" i="7"/>
  <c r="O16" i="7"/>
  <c r="O14" i="7"/>
  <c r="M12" i="7"/>
  <c r="K16" i="7"/>
  <c r="M16" i="7"/>
  <c r="F16" i="1" l="1"/>
  <c r="K16" i="1" s="1"/>
  <c r="Q16" i="7"/>
  <c r="G14" i="5" s="1"/>
  <c r="N12" i="7"/>
  <c r="J20" i="2" s="1"/>
  <c r="P10" i="5"/>
  <c r="L20" i="2"/>
  <c r="G20" i="2" s="1"/>
  <c r="G22" i="2" s="1"/>
  <c r="S14" i="5"/>
  <c r="N16" i="7"/>
  <c r="S12" i="5"/>
  <c r="N14" i="7"/>
  <c r="I26" i="2"/>
  <c r="D26" i="2" s="1"/>
  <c r="D28" i="2" s="1"/>
  <c r="C12" i="5"/>
  <c r="V12" i="5"/>
  <c r="Q14" i="7"/>
  <c r="U12" i="5"/>
  <c r="P14" i="7"/>
  <c r="Q12" i="7"/>
  <c r="V10" i="5"/>
  <c r="T10" i="5"/>
  <c r="O12" i="7"/>
  <c r="M33" i="2"/>
  <c r="Q13" i="7"/>
  <c r="V11" i="5"/>
  <c r="C19" i="1"/>
  <c r="H19" i="1" s="1"/>
  <c r="I29" i="2"/>
  <c r="C13" i="5"/>
  <c r="D16" i="1"/>
  <c r="I16" i="1" s="1"/>
  <c r="D10" i="5"/>
  <c r="D19" i="1"/>
  <c r="I19" i="1" s="1"/>
  <c r="J29" i="2"/>
  <c r="D13" i="5"/>
  <c r="N13" i="7"/>
  <c r="S11" i="5"/>
  <c r="U13" i="5"/>
  <c r="P15" i="7"/>
  <c r="O18" i="7"/>
  <c r="E16" i="5" s="1"/>
  <c r="T16" i="5"/>
  <c r="K33" i="2"/>
  <c r="E14" i="5"/>
  <c r="P18" i="7"/>
  <c r="F16" i="5" s="1"/>
  <c r="U16" i="5"/>
  <c r="I33" i="2"/>
  <c r="I35" i="2" s="1"/>
  <c r="C14" i="5"/>
  <c r="K26" i="2"/>
  <c r="E18" i="1"/>
  <c r="J18" i="1" s="1"/>
  <c r="E12" i="5"/>
  <c r="U14" i="5"/>
  <c r="P16" i="7"/>
  <c r="N16" i="5"/>
  <c r="I20" i="2"/>
  <c r="C16" i="1"/>
  <c r="H16" i="1" s="1"/>
  <c r="C10" i="5"/>
  <c r="C17" i="1"/>
  <c r="H17" i="1" s="1"/>
  <c r="C11" i="5"/>
  <c r="I23" i="2"/>
  <c r="V13" i="5"/>
  <c r="Q15" i="7"/>
  <c r="I28" i="2"/>
  <c r="T11" i="5"/>
  <c r="O13" i="7"/>
  <c r="F11" i="5"/>
  <c r="F17" i="1"/>
  <c r="K17" i="1" s="1"/>
  <c r="L23" i="2"/>
  <c r="O15" i="7"/>
  <c r="T13" i="5"/>
  <c r="M16" i="5"/>
  <c r="Q18" i="7"/>
  <c r="G16" i="5" s="1"/>
  <c r="V16" i="5"/>
  <c r="M12" i="5" l="1"/>
  <c r="L22" i="2"/>
  <c r="J33" i="2"/>
  <c r="D14" i="5"/>
  <c r="F18" i="1"/>
  <c r="K18" i="1" s="1"/>
  <c r="L26" i="2"/>
  <c r="F12" i="5"/>
  <c r="G18" i="1"/>
  <c r="L18" i="1" s="1"/>
  <c r="G12" i="5"/>
  <c r="M26" i="2"/>
  <c r="J26" i="2"/>
  <c r="D12" i="5"/>
  <c r="D18" i="1"/>
  <c r="I18" i="1" s="1"/>
  <c r="E10" i="5"/>
  <c r="K20" i="2"/>
  <c r="E16" i="1"/>
  <c r="J16" i="1" s="1"/>
  <c r="M20" i="2"/>
  <c r="G10" i="5"/>
  <c r="G16" i="1"/>
  <c r="L16" i="1" s="1"/>
  <c r="F26" i="2"/>
  <c r="F28" i="2" s="1"/>
  <c r="K28" i="2"/>
  <c r="O16" i="5"/>
  <c r="L25" i="2"/>
  <c r="G23" i="2"/>
  <c r="G25" i="2" s="1"/>
  <c r="D20" i="2"/>
  <c r="D22" i="2" s="1"/>
  <c r="I22" i="2"/>
  <c r="L29" i="2"/>
  <c r="F19" i="1"/>
  <c r="K19" i="1" s="1"/>
  <c r="F13" i="5"/>
  <c r="M23" i="2"/>
  <c r="G17" i="1"/>
  <c r="L17" i="1" s="1"/>
  <c r="G11" i="5"/>
  <c r="F14" i="5"/>
  <c r="L33" i="2"/>
  <c r="O12" i="5"/>
  <c r="I42" i="2"/>
  <c r="P16" i="5"/>
  <c r="K35" i="2"/>
  <c r="K42" i="2" s="1"/>
  <c r="F33" i="2"/>
  <c r="F35" i="2" s="1"/>
  <c r="F42" i="2" s="1"/>
  <c r="D17" i="1"/>
  <c r="I17" i="1" s="1"/>
  <c r="J23" i="2"/>
  <c r="D11" i="5"/>
  <c r="N10" i="5"/>
  <c r="D29" i="2"/>
  <c r="D31" i="2" s="1"/>
  <c r="I31" i="2"/>
  <c r="Q14" i="5"/>
  <c r="Q16" i="5"/>
  <c r="E17" i="1"/>
  <c r="J17" i="1" s="1"/>
  <c r="K23" i="2"/>
  <c r="E11" i="5"/>
  <c r="G13" i="5"/>
  <c r="M29" i="2"/>
  <c r="G19" i="1"/>
  <c r="L19" i="1" s="1"/>
  <c r="E29" i="2"/>
  <c r="E31" i="2" s="1"/>
  <c r="J31" i="2"/>
  <c r="M14" i="5"/>
  <c r="O14" i="5"/>
  <c r="M13" i="5"/>
  <c r="E19" i="1"/>
  <c r="J19" i="1" s="1"/>
  <c r="K29" i="2"/>
  <c r="E13" i="5"/>
  <c r="I25" i="2"/>
  <c r="D23" i="2"/>
  <c r="D25" i="2" s="1"/>
  <c r="P11" i="5"/>
  <c r="M11" i="5"/>
  <c r="M10" i="5"/>
  <c r="N13" i="5"/>
  <c r="E20" i="2"/>
  <c r="E22" i="2" s="1"/>
  <c r="J22" i="2"/>
  <c r="H33" i="2"/>
  <c r="H35" i="2" s="1"/>
  <c r="H42" i="2" s="1"/>
  <c r="M35" i="2"/>
  <c r="M42" i="2" s="1"/>
  <c r="N14" i="5" l="1"/>
  <c r="E33" i="2"/>
  <c r="E35" i="2" s="1"/>
  <c r="E42" i="2" s="1"/>
  <c r="J35" i="2"/>
  <c r="J42" i="2" s="1"/>
  <c r="J28" i="2"/>
  <c r="E26" i="2"/>
  <c r="E28" i="2" s="1"/>
  <c r="P12" i="5"/>
  <c r="N12" i="5"/>
  <c r="H26" i="2"/>
  <c r="H28" i="2" s="1"/>
  <c r="M28" i="2"/>
  <c r="L28" i="2"/>
  <c r="G26" i="2"/>
  <c r="G28" i="2" s="1"/>
  <c r="Q12" i="5"/>
  <c r="K22" i="2"/>
  <c r="F20" i="2"/>
  <c r="F22" i="2" s="1"/>
  <c r="H20" i="2"/>
  <c r="H22" i="2" s="1"/>
  <c r="M22" i="2"/>
  <c r="Q10" i="5"/>
  <c r="O10" i="5"/>
  <c r="Q13" i="5"/>
  <c r="P13" i="5"/>
  <c r="D32" i="2"/>
  <c r="D43" i="2" s="1"/>
  <c r="O11" i="5"/>
  <c r="N11" i="5"/>
  <c r="O35" i="2"/>
  <c r="O42" i="2" s="1"/>
  <c r="C10" i="2" s="1"/>
  <c r="G33" i="2"/>
  <c r="G35" i="2" s="1"/>
  <c r="G42" i="2" s="1"/>
  <c r="L35" i="2"/>
  <c r="L42" i="2" s="1"/>
  <c r="Q11" i="5"/>
  <c r="O13" i="5"/>
  <c r="F23" i="2"/>
  <c r="F25" i="2" s="1"/>
  <c r="K25" i="2"/>
  <c r="J25" i="2"/>
  <c r="E23" i="2"/>
  <c r="E25" i="2" s="1"/>
  <c r="E32" i="2" s="1"/>
  <c r="E43" i="2" s="1"/>
  <c r="P14" i="5"/>
  <c r="L31" i="2"/>
  <c r="L32" i="2" s="1"/>
  <c r="L43" i="2" s="1"/>
  <c r="G29" i="2"/>
  <c r="G31" i="2" s="1"/>
  <c r="F29" i="2"/>
  <c r="F31" i="2" s="1"/>
  <c r="N31" i="2" s="1"/>
  <c r="K31" i="2"/>
  <c r="H29" i="2"/>
  <c r="H31" i="2" s="1"/>
  <c r="M31" i="2"/>
  <c r="H23" i="2"/>
  <c r="H25" i="2" s="1"/>
  <c r="M25" i="2"/>
  <c r="I32" i="2"/>
  <c r="I43" i="2" s="1"/>
  <c r="O31" i="2" l="1"/>
  <c r="Q31" i="2" s="1"/>
  <c r="N22" i="2"/>
  <c r="J32" i="2"/>
  <c r="J43" i="2" s="1"/>
  <c r="K32" i="2"/>
  <c r="K43" i="2" s="1"/>
  <c r="O28" i="2"/>
  <c r="N28" i="2"/>
  <c r="O22" i="2"/>
  <c r="Q22" i="2" s="1"/>
  <c r="F32" i="2"/>
  <c r="F43" i="2" s="1"/>
  <c r="G32" i="2"/>
  <c r="G43" i="2" s="1"/>
  <c r="N25" i="2"/>
  <c r="M32" i="2"/>
  <c r="M43" i="2" s="1"/>
  <c r="H32" i="2"/>
  <c r="H43" i="2" s="1"/>
  <c r="O25" i="2"/>
  <c r="N35" i="2"/>
  <c r="N32" i="2" l="1"/>
  <c r="B9" i="2" s="1"/>
  <c r="Q28" i="2"/>
  <c r="Q25" i="2"/>
  <c r="O32" i="2"/>
  <c r="O43" i="2" s="1"/>
  <c r="Q35" i="2"/>
  <c r="Q42" i="2" s="1"/>
  <c r="N42" i="2"/>
  <c r="C9" i="16" l="1"/>
  <c r="D9" i="16"/>
  <c r="D12" i="16" s="1"/>
  <c r="Q32" i="2"/>
  <c r="Q43" i="2" s="1"/>
  <c r="J9" i="16"/>
  <c r="J12" i="16" s="1"/>
  <c r="H9" i="16"/>
  <c r="H12" i="16" s="1"/>
  <c r="K9" i="16"/>
  <c r="K12" i="16" s="1"/>
  <c r="C9" i="2"/>
  <c r="F9" i="16"/>
  <c r="F12" i="16" s="1"/>
  <c r="L9" i="16"/>
  <c r="L12" i="16" s="1"/>
  <c r="M9" i="16"/>
  <c r="M12" i="16" s="1"/>
  <c r="C11" i="2"/>
  <c r="G9" i="16"/>
  <c r="G12" i="16" s="1"/>
  <c r="E9" i="16"/>
  <c r="E12" i="16" s="1"/>
  <c r="I9" i="16"/>
  <c r="I12" i="16" s="1"/>
  <c r="E9" i="2"/>
  <c r="C12" i="16"/>
  <c r="C20" i="16"/>
  <c r="C23" i="16" s="1"/>
  <c r="J20" i="16"/>
  <c r="J23" i="16" s="1"/>
  <c r="G20" i="16"/>
  <c r="G23" i="16" s="1"/>
  <c r="H20" i="16"/>
  <c r="H23" i="16" s="1"/>
  <c r="L20" i="16"/>
  <c r="L23" i="16" s="1"/>
  <c r="E20" i="16"/>
  <c r="E23" i="16" s="1"/>
  <c r="K20" i="16"/>
  <c r="K23" i="16" s="1"/>
  <c r="I20" i="16"/>
  <c r="I23" i="16" s="1"/>
  <c r="M20" i="16"/>
  <c r="M23" i="16" s="1"/>
  <c r="D20" i="16"/>
  <c r="D23" i="16" s="1"/>
  <c r="F20" i="16"/>
  <c r="F23" i="16" s="1"/>
  <c r="B20" i="16"/>
  <c r="B10" i="2"/>
  <c r="N43" i="2"/>
  <c r="E10" i="2" l="1"/>
  <c r="N9" i="16"/>
  <c r="N12" i="16" s="1"/>
  <c r="B11" i="2"/>
  <c r="I9" i="2"/>
  <c r="N20" i="16"/>
  <c r="N23" i="16" s="1"/>
  <c r="B23" i="16"/>
  <c r="E11" i="2" l="1"/>
  <c r="I10" i="2"/>
  <c r="I11" i="2" l="1"/>
</calcChain>
</file>

<file path=xl/sharedStrings.xml><?xml version="1.0" encoding="utf-8"?>
<sst xmlns="http://schemas.openxmlformats.org/spreadsheetml/2006/main" count="737" uniqueCount="342">
  <si>
    <t>REPARTICION:</t>
  </si>
  <si>
    <t xml:space="preserve">TOTAL </t>
  </si>
  <si>
    <t>Cálculo Ingreso</t>
  </si>
  <si>
    <t>Ocupación / Cargo</t>
  </si>
  <si>
    <t>Reajuste</t>
  </si>
  <si>
    <t>Prestación</t>
  </si>
  <si>
    <t>Total</t>
  </si>
  <si>
    <t>Meta Ocupación</t>
  </si>
  <si>
    <t>Total Prestaciones</t>
  </si>
  <si>
    <t>Ingreso anual</t>
  </si>
  <si>
    <t>Ingreso total anual</t>
  </si>
  <si>
    <t>COSTOS DE OPERACIÓN</t>
  </si>
  <si>
    <t>REMUNERACIONES DIRECTAS</t>
  </si>
  <si>
    <t>SUPLENCIAS Y REEMPLAZOS</t>
  </si>
  <si>
    <t>PERSONAL A TRATO Y TEMPORAL</t>
  </si>
  <si>
    <t>OTRAS REMUNERACIONES</t>
  </si>
  <si>
    <t>GASTO DE OPERACIÓN</t>
  </si>
  <si>
    <t>ALIMENTOS Y BEBIDAS</t>
  </si>
  <si>
    <t>TEXTILES Y ACABADOS TEXTILES</t>
  </si>
  <si>
    <t>COMBUSTIBLE LUBRIC P.VEHICULOS</t>
  </si>
  <si>
    <t>PARA CALEFACCION</t>
  </si>
  <si>
    <t>PRODUCTOS QUIMICOS</t>
  </si>
  <si>
    <t>MAT.P/MATEN.Y REPARACION</t>
  </si>
  <si>
    <t>EQUIPOS MENORES</t>
  </si>
  <si>
    <t>ELECTRICIDAD</t>
  </si>
  <si>
    <t>AGUA</t>
  </si>
  <si>
    <t>GAS</t>
  </si>
  <si>
    <t>TELEFONIA FIJA</t>
  </si>
  <si>
    <t>TELEFONIA CELULAR</t>
  </si>
  <si>
    <t>ACCESO A INTERNET</t>
  </si>
  <si>
    <t>SERVICIOS DE ASEO</t>
  </si>
  <si>
    <t>PASAJES, FLETES Y BODEGAJE</t>
  </si>
  <si>
    <t>SERVICIOS INFORMATICOS</t>
  </si>
  <si>
    <t>MAQUINAS Y EQUIPOS DE OFICINA</t>
  </si>
  <si>
    <t>GASTOS DE ADMINISTRACIÓN Y VENTAS</t>
  </si>
  <si>
    <t>GASTO EN PERSONAL</t>
  </si>
  <si>
    <t>% tiempo</t>
  </si>
  <si>
    <t>$ Costo</t>
  </si>
  <si>
    <t>VIATICOS PERSONAL COD.TRABAJO</t>
  </si>
  <si>
    <t>VESTUARIO ACC.Y PRENDAS DIVERS</t>
  </si>
  <si>
    <t>CALZADO</t>
  </si>
  <si>
    <t>CURSOS DE CAPACITACION</t>
  </si>
  <si>
    <t>CONSUMOS BÁSICOS</t>
  </si>
  <si>
    <t>ENLACES DE TELECOMUNICACIONES</t>
  </si>
  <si>
    <t>OTROS SERVICIOS BASICOS</t>
  </si>
  <si>
    <t>BIENES DE CONSUMO</t>
  </si>
  <si>
    <t>COMB.LUBR.DIRECTOS-INDIRECTOS</t>
  </si>
  <si>
    <t>MATERIALES DE OFICINA</t>
  </si>
  <si>
    <t>PROD.QUIMIC,FARMACEUTICOS IND.</t>
  </si>
  <si>
    <t>FERT.INSECT.FUNG.Y OTROS</t>
  </si>
  <si>
    <t>MAT.Y UTILES DE ASEO</t>
  </si>
  <si>
    <t>MENAJE OFICINA CASINO Y OTROS</t>
  </si>
  <si>
    <t>MOBILIARIO Y OTROS</t>
  </si>
  <si>
    <t>COSTO SERVICIO DESAYUNO</t>
  </si>
  <si>
    <t>COSTOS DE TEXT. VEST,O PRENDAS</t>
  </si>
  <si>
    <t>SERVICIOS GENERALES</t>
  </si>
  <si>
    <t>SERVICIO DE PUBLICIDAD</t>
  </si>
  <si>
    <t>SERVICIO DE IMPRESION</t>
  </si>
  <si>
    <t>SERVICIOS DE VIGILANCIA</t>
  </si>
  <si>
    <t>OTROS SERVICIOS GENERALES</t>
  </si>
  <si>
    <t>ARRIENDO DE TERRENOS</t>
  </si>
  <si>
    <t>ARRIENDO DE MOBILIARIO Y OTROS</t>
  </si>
  <si>
    <t>ARRIENDO DE MAQUINAS Y EQUIPOS</t>
  </si>
  <si>
    <t>OTROS ARRIENDOS</t>
  </si>
  <si>
    <t>SEGURO INMUEBLES</t>
  </si>
  <si>
    <t>MANTENCIÓN Y REPARACIÓN</t>
  </si>
  <si>
    <t>OTROS GASTOS</t>
  </si>
  <si>
    <t>Costo Unitario Promedio</t>
  </si>
  <si>
    <t>Cantidad</t>
  </si>
  <si>
    <t>ASISTENCIA RECREATIVA</t>
  </si>
  <si>
    <t>ASISTENCIA EDUCACIONAL</t>
  </si>
  <si>
    <t>ASISTENCIA COMERCIAL</t>
  </si>
  <si>
    <t>Institución</t>
  </si>
  <si>
    <t>Nombre</t>
  </si>
  <si>
    <t>Apellido</t>
  </si>
  <si>
    <t>DETALLE / OBSERVACIONES</t>
  </si>
  <si>
    <t>Número de Cuenta</t>
  </si>
  <si>
    <t>ítem de Gasto (según Plan de Cuenta Institucional)</t>
  </si>
  <si>
    <t>Costos Fijos</t>
  </si>
  <si>
    <t>Costos Variables</t>
  </si>
  <si>
    <t>Costos Directos</t>
  </si>
  <si>
    <t>Costos Indirectos</t>
  </si>
  <si>
    <t>Centro de Costo</t>
  </si>
  <si>
    <t>Ingresos Totales</t>
  </si>
  <si>
    <t>INSTRUCCIONES</t>
  </si>
  <si>
    <t>ÍNDICE DE TABLAS</t>
  </si>
  <si>
    <t>Mensualidad</t>
  </si>
  <si>
    <t>Personal Servicio Activo Armada y otras FFAA</t>
  </si>
  <si>
    <t>En retiro</t>
  </si>
  <si>
    <t>Casos Especiales</t>
  </si>
  <si>
    <t>Ingreso por Matrícula</t>
  </si>
  <si>
    <t>Ingreso por Mensualidad</t>
  </si>
  <si>
    <t>Departamento de Informática</t>
  </si>
  <si>
    <t>Departamento de RR.HH.</t>
  </si>
  <si>
    <t>Departamento de Finanzas y Abastecimiento</t>
  </si>
  <si>
    <t>TOTAL GENERAL</t>
  </si>
  <si>
    <t>REMUNERACIONES TOTALES CÓDIGO DEL TRABAJO</t>
  </si>
  <si>
    <t>OTROS MATERIALES DE USO CONSUMO</t>
  </si>
  <si>
    <t>OTROS GASTOS IMPREVISTOS</t>
  </si>
  <si>
    <t>GASTOS MENORES (FOFI)</t>
  </si>
  <si>
    <t>MANT.Y REPAR. MOBILIARIO Y OTROS</t>
  </si>
  <si>
    <t>MANT.Y REPAR. DE EQUIPOS OFICINA</t>
  </si>
  <si>
    <t>MANT.Y REPAR. OTRAS MAQ. Y EQUIP.</t>
  </si>
  <si>
    <t>MANT.Y REPAR. EQUIPOS INFORMATICOS</t>
  </si>
  <si>
    <t>OTROS MANTEN. Y REPAR. MENORES</t>
  </si>
  <si>
    <t>SERVICIO DE MANTENCION JARDINES</t>
  </si>
  <si>
    <t>COSTO DIRECTO TOTAL</t>
  </si>
  <si>
    <t>Total Anual</t>
  </si>
  <si>
    <t>Costos Totales</t>
  </si>
  <si>
    <t>Reajuste propuesto</t>
  </si>
  <si>
    <t>TOTAL GENERAL COSTOS DIRECTOS</t>
  </si>
  <si>
    <t>COMPARACIÓN 1</t>
  </si>
  <si>
    <t>COMPARACIÓN 2</t>
  </si>
  <si>
    <t>% Distribución Costo Indirecto</t>
  </si>
  <si>
    <t>Excedentes</t>
  </si>
  <si>
    <t>Centro de Beneficio</t>
  </si>
  <si>
    <t>Costo Total Remuneraciones por Centro de Beneficio</t>
  </si>
  <si>
    <t>Total Bonos anual</t>
  </si>
  <si>
    <t>Total Aguinaldos anual</t>
  </si>
  <si>
    <t>Unidades de Apoyo Administrativo</t>
  </si>
  <si>
    <t>Otros</t>
  </si>
  <si>
    <t>APOYO ADM.</t>
  </si>
  <si>
    <t>Asistencia Educacional</t>
  </si>
  <si>
    <t xml:space="preserve">En esta hoja deberá incorporar toda la información, tablas y cálculos complementarios que permitan explicar y justificar sus proyecciones de ingresos y egresos, de acuerdo a los datos incorporados en las hojas anteriores.
</t>
  </si>
  <si>
    <t>Reajuste en pesos ($)</t>
  </si>
  <si>
    <t>Reajuste en porcentaje (%)</t>
  </si>
  <si>
    <t>Ingreso por Escuela de Verano</t>
  </si>
  <si>
    <t>Media jornada</t>
  </si>
  <si>
    <t>Jardín Infantil ABC</t>
  </si>
  <si>
    <r>
      <t xml:space="preserve">Con el objeto de medir comparativamente el bienestar otorgado al personal de la Armada, es necesario recabar antecedentes comparativos que permitan cuantificar las alternativas de precios que ofrece el mercado </t>
    </r>
    <r>
      <rPr>
        <b/>
        <u/>
        <sz val="10"/>
        <rFont val="Arial"/>
        <family val="2"/>
      </rPr>
      <t>dentro de la misma comuna en la que se encuentran los Jardines Infantiles (J.I.) y Salas Cunas (S.C.)</t>
    </r>
    <r>
      <rPr>
        <sz val="10"/>
        <rFont val="Arial"/>
        <family val="2"/>
      </rPr>
      <t xml:space="preserve"> de su Repartición. Este cuadro comparativo debe ser completado con, </t>
    </r>
    <r>
      <rPr>
        <b/>
        <u/>
        <sz val="10"/>
        <rFont val="Arial"/>
        <family val="2"/>
      </rPr>
      <t>A LO MENOS</t>
    </r>
    <r>
      <rPr>
        <sz val="10"/>
        <rFont val="Arial"/>
        <family val="2"/>
      </rPr>
      <t xml:space="preserve">, dos instituciones públicas o privadas </t>
    </r>
    <r>
      <rPr>
        <b/>
        <u/>
        <sz val="10"/>
        <rFont val="Arial"/>
        <family val="2"/>
      </rPr>
      <t>puedan considerarse como las principales competencias directas</t>
    </r>
    <r>
      <rPr>
        <sz val="10"/>
        <rFont val="Arial"/>
        <family val="2"/>
      </rPr>
      <t xml:space="preserve"> y que otorguen </t>
    </r>
    <r>
      <rPr>
        <b/>
        <u/>
        <sz val="10"/>
        <rFont val="Arial"/>
        <family val="2"/>
      </rPr>
      <t>prestaciones de calidad igual o similar</t>
    </r>
    <r>
      <rPr>
        <sz val="10"/>
        <rFont val="Arial"/>
        <family val="2"/>
      </rPr>
      <t xml:space="preserve"> a las brindadas por las instalaciones de este Departamento/Delegación.</t>
    </r>
  </si>
  <si>
    <t>Precio promedio mercado (ppm)</t>
  </si>
  <si>
    <t>SERVICIO DE SUSCRIPCION</t>
  </si>
  <si>
    <t>EQUIPOS COMPUTACIONALES</t>
  </si>
  <si>
    <t>Total Meta Ocupación</t>
  </si>
  <si>
    <t>Jardines Infantiles</t>
  </si>
  <si>
    <t>PDI</t>
  </si>
  <si>
    <t>GENDARMERIA</t>
  </si>
  <si>
    <t>ÁREA APOYO A. EDUCACIONAL</t>
  </si>
  <si>
    <t>ADMINISTRACIÓN CENTRAL</t>
  </si>
  <si>
    <t>COSTO  TOTAL</t>
  </si>
  <si>
    <t>% Respecto a Precio Promedio Mercado</t>
  </si>
  <si>
    <t>Tiempo Total</t>
  </si>
  <si>
    <t>$ Costo Total</t>
  </si>
  <si>
    <t>$Costo Total</t>
  </si>
  <si>
    <t>TABLA 1: RESUMEN DE INGRESOS Y EGRESOS DE CENTROS DE BENEFICIOS</t>
  </si>
  <si>
    <t>TABLA 2: DETALLE DE INGRESOS POR PRESTACIÓN Y SEGMENTO</t>
  </si>
  <si>
    <t>TABLA 3: REAJUSTE DE TARIFAS POR PRESTACIÓN Y SEGMENTO</t>
  </si>
  <si>
    <t>TABLA 4: METAS DE OCUPACIÓN POR PRESTACIÓN Y SEGMENTO</t>
  </si>
  <si>
    <t>Depto./ Del.</t>
  </si>
  <si>
    <t>TABLA 5: COSTOS DIRECTOS DE CENTROS DE BENEFICIOS</t>
  </si>
  <si>
    <t>TABLA 6: REMUNERACIONES DEL PERSONAL LEY 18.712 ADMINISTRACION CENTRAL Y APOYO ADMINISTRATIVO ASISTENCIA EDUCACIONAL</t>
  </si>
  <si>
    <t>TABLA 7: DISTRIBUCION COSTOS REMUNERACIONES ADMINISTRACION CENTRAL Y APOYO ADMINISTRATIVO A. EDUCACIONAL</t>
  </si>
  <si>
    <t>TABLA 8: COSTOS DE OPERACION ADMINISTRACIÓN CENTRAL Y  APOYO ADMINISTRATIVO ASISTENCIA EDUCACIONAL</t>
  </si>
  <si>
    <t>TABLA 9: RESUMEN DISTRIBUCION COSTOS REMUNERACIONES ADMINISTRACION CENTRAL Y APOYO ADMINISTRATIVO A. EDUCACIONAL</t>
  </si>
  <si>
    <t>TABLA 10: RESUMEN DISTRIBUCION COSTOS OPERACIÓN ADMINISTRACION CENTRAL  Y APOYO ADMINISTRATIVO A. EDUCACIONAL</t>
  </si>
  <si>
    <t>TABLA 11: FINANCIAMIENTO ADM. CENTRAL  Y APOYO ADMINISTRATIVO 
(REMUNERACIONES + COSTO OPERACIÓN)</t>
  </si>
  <si>
    <t>TABLA 12: RESUMEN DE TARIFADO</t>
  </si>
  <si>
    <t>TABLA 13: REMUNERACIONES DEL PERSONAL LEY 18.712 DE CENTROS DE BENEFICIOS</t>
  </si>
  <si>
    <t>TABLA 14: COMPARACIÓN TARIFAS CON PRECIOS DE MERCADO</t>
  </si>
  <si>
    <t>A) Resumen Ingresos y Egresos</t>
  </si>
  <si>
    <t>B) Reajuste Tarifas y Ocupación</t>
  </si>
  <si>
    <t>C) Costos Directos</t>
  </si>
  <si>
    <t>D) Costos Indirectos</t>
  </si>
  <si>
    <t>E) Resumen Tarifado</t>
  </si>
  <si>
    <t>F) Remuneraciones</t>
  </si>
  <si>
    <t>G) Comparación Mercado</t>
  </si>
  <si>
    <t>H) Detalle Datos</t>
  </si>
  <si>
    <t>SERVICIOS DE VIGILANCIA /SEGURIDAD</t>
  </si>
  <si>
    <t>SUPLENCIAS Y REEMPLAZOS (EC  oPAC)</t>
  </si>
  <si>
    <t xml:space="preserve"> INDEMNIZACIÓN CÓDIGO DEL TRABAJO</t>
  </si>
  <si>
    <t>OTRAS REMUNERACIONES (ALUMNOS EN PRACTICA)</t>
  </si>
  <si>
    <t>ALIMENTOS Y BEBIDAS (PERSONAL)</t>
  </si>
  <si>
    <t>ALIMENTOS Y BEBIDAS (NIÑOS)</t>
  </si>
  <si>
    <t>ALIMENTOS Y BEBIDAS (ALUMNOS EN PRÁCTICA)</t>
  </si>
  <si>
    <t>TEXTILES Y ACABADOS TEXTILES (CORTINAJE ROLLER, SACOS DE DORMIR, COBERTORES, ETC.)</t>
  </si>
  <si>
    <t>PARA CALEFACCION (CALDERAS, ESTUFAS, ETC)</t>
  </si>
  <si>
    <t>TEXTOS Y OTROS MAT.ENSEÑANZA</t>
  </si>
  <si>
    <t>EQUIPOS MENORES (EQUIPAMIENTO)</t>
  </si>
  <si>
    <t>SERVICIO DE SUSCRIPCION (MATERIAL DE APOYO)</t>
  </si>
  <si>
    <t>GASTOS MENORES (FOFI) DIRECTIVA DGFA N°02-DC/0201/22 FECHA ENERO 2009</t>
  </si>
  <si>
    <t>MAQUINAS Y EQUIPOS DE OFICINA (ADQUISICION)</t>
  </si>
  <si>
    <t>VESTUARIO ACC.Y PRENDAS DIVERSAS</t>
  </si>
  <si>
    <t>CALZADO E PERSONAL DE COCINA</t>
  </si>
  <si>
    <t>COM.DE SERVICIO EN EL PAIS (VIATICO - 2 REUNIONES ANUALES DIRECTORA)</t>
  </si>
  <si>
    <t>EQUIPOS COMPUTACIONALES (CAMARAS DE VIGILANCIA)</t>
  </si>
  <si>
    <t>OTROS SERVICIOS GENERALES (FUMIGACIÓN)</t>
  </si>
  <si>
    <t>OTROS ARRIENDOS (BUSES)</t>
  </si>
  <si>
    <t>SEGURO PARVULOS</t>
  </si>
  <si>
    <t>OTROS SERVICIOS GENERALES (LAVANDERIIA)</t>
  </si>
  <si>
    <t>MANT.Y REPAR. OTRAS MAQ. Y EQUIP. (COCINA)</t>
  </si>
  <si>
    <t>OTROS MANTEN. Y REPAR. MENORES (GASFITERIA Y ELECTRICIDAD)</t>
  </si>
  <si>
    <t>A) RESUMEN DE INGRESOS Y EGRESOS</t>
  </si>
  <si>
    <t>B) REAJUSTE DE TARIFAS Y METAS DE OCUPACIÓN POR CENTRO DE BENEFICIO</t>
  </si>
  <si>
    <t>D) COSTOS INDIRECTOS ASISTENCIA EDUCACIONAL</t>
  </si>
  <si>
    <t>E) RESUMEN DE TARIFADO</t>
  </si>
  <si>
    <t>F) REMUNERACIONES DEL PERSONAL CÓDIGO DEL TRABAJO</t>
  </si>
  <si>
    <t>G) COMPARACIÓN TARIFAS CON PRECIOS DE MERCADO</t>
  </si>
  <si>
    <t>H) DETALLE DE DATOS COMPLEMENTARIOS</t>
  </si>
  <si>
    <t>ANEXO A</t>
  </si>
  <si>
    <t>ANEXO B</t>
  </si>
  <si>
    <t>ANEXO C</t>
  </si>
  <si>
    <t>ANEXO D</t>
  </si>
  <si>
    <t>ANEXO E</t>
  </si>
  <si>
    <t>ANEXO F</t>
  </si>
  <si>
    <t>ANEXO G</t>
  </si>
  <si>
    <t>TABLA 9: RESUMEN DISTRIBUCION COSTOS REMUNERACIONES ADMINISTRACION CENTRAL</t>
  </si>
  <si>
    <t>Jardín Infantil Mar y Cielo</t>
  </si>
  <si>
    <t xml:space="preserve">Doble jornada </t>
  </si>
  <si>
    <t>Jornada completa</t>
  </si>
  <si>
    <t>C) ESTIMACION DE COSTOS DIRECTOS</t>
  </si>
  <si>
    <t>Gasto Total Empresa</t>
  </si>
  <si>
    <t>OTROS MANTEN. Y REP.MENORES</t>
  </si>
  <si>
    <t>PROD.QUIMIC,FARMACEUTICOS IND. (BOTIQUIN)</t>
  </si>
  <si>
    <t>PRODUCTOS QUIMICOS (EXTINTOR)</t>
  </si>
  <si>
    <t>CUOTA DE PADRES</t>
  </si>
  <si>
    <t>AFL</t>
  </si>
  <si>
    <t>PAF</t>
  </si>
  <si>
    <t>TECNICO EN PARV</t>
  </si>
  <si>
    <t>TOTAL</t>
  </si>
  <si>
    <t>Diurna</t>
  </si>
  <si>
    <t>Nocturna</t>
  </si>
  <si>
    <t>Media Jornada</t>
  </si>
  <si>
    <t>JI (80%)</t>
  </si>
  <si>
    <t>SC (20%)</t>
  </si>
  <si>
    <t xml:space="preserve"> COSTOS DIRECTOS COMUNES  "JARDIN INFANTIL Y SALA CUNA MAR Y CIELO"</t>
  </si>
  <si>
    <t>N.N.</t>
  </si>
  <si>
    <t>Ej: Encargado Informática</t>
  </si>
  <si>
    <t>Jardín Infantil XYZ</t>
  </si>
  <si>
    <t>I) Proyección Mensual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</si>
  <si>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</si>
  <si>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</si>
  <si>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</si>
  <si>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</si>
  <si>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</si>
  <si>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</si>
  <si>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</si>
  <si>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</si>
  <si>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</si>
  <si>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</si>
  <si>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</si>
  <si>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</si>
  <si>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INGRESOS DE OPERACION</t>
  </si>
  <si>
    <t>REMUNERACIONES COD.DEL TRABAJO</t>
  </si>
  <si>
    <t>COSTOS  DE OPERACION</t>
  </si>
  <si>
    <t>Sala Cuna Mar y Cielo Diurna</t>
  </si>
  <si>
    <t>TABLA N°15: PROYECCIÓN MENSUAL</t>
  </si>
  <si>
    <t>MATRICULA</t>
  </si>
  <si>
    <t>PERSONAL</t>
  </si>
  <si>
    <t>ACUMULADO A DICIEMBRE</t>
  </si>
  <si>
    <t>RESULTADO OPERACIONAL</t>
  </si>
  <si>
    <t>Sala Cuna Mar y Cielo</t>
  </si>
  <si>
    <t>BIENMAG</t>
  </si>
  <si>
    <t>Media Jornada extendida</t>
  </si>
  <si>
    <t>Mensualidad 2025</t>
  </si>
  <si>
    <t>Tarifa 2026</t>
  </si>
  <si>
    <t>Matrícula 2026</t>
  </si>
  <si>
    <t>Mensualidad 2026</t>
  </si>
  <si>
    <t>Propuesta Mensualidad 2026</t>
  </si>
  <si>
    <t>Meta Ocupación niños 2026</t>
  </si>
  <si>
    <t>COSTO DIRECTO ESTIMADO 2026</t>
  </si>
  <si>
    <t>REMUNERACIONES 2025</t>
  </si>
  <si>
    <t>Costo Total anual por Servidor 2025</t>
  </si>
  <si>
    <t>Costo Total por Servidor Reajustado 2026</t>
  </si>
  <si>
    <t>COSTO INDIRECTO ESTIMADO 2026</t>
  </si>
  <si>
    <t>BUSTAMANTE ALMONACID</t>
  </si>
  <si>
    <t xml:space="preserve">AUX. ASEO </t>
  </si>
  <si>
    <t xml:space="preserve">BARRERA MORALES </t>
  </si>
  <si>
    <t xml:space="preserve">DIRECTORA </t>
  </si>
  <si>
    <t xml:space="preserve">EC CARLA </t>
  </si>
  <si>
    <t xml:space="preserve">EC MARION </t>
  </si>
  <si>
    <t xml:space="preserve">SCHARP MILLAN </t>
  </si>
  <si>
    <t xml:space="preserve">EDUC.PARV </t>
  </si>
  <si>
    <t xml:space="preserve">EC MILENNA </t>
  </si>
  <si>
    <t xml:space="preserve">PAC PAULINA </t>
  </si>
  <si>
    <t xml:space="preserve">CANDIA DIAZ </t>
  </si>
  <si>
    <t>EDUC. PARV</t>
  </si>
  <si>
    <t xml:space="preserve">EDUC. PARV  </t>
  </si>
  <si>
    <t xml:space="preserve">TT JENIFER </t>
  </si>
  <si>
    <t xml:space="preserve">CHAVEZ SALINAS </t>
  </si>
  <si>
    <t>TECNICO EN PARV.</t>
  </si>
  <si>
    <t xml:space="preserve">TT MARÍA </t>
  </si>
  <si>
    <t xml:space="preserve">BOUR TORRES </t>
  </si>
  <si>
    <t xml:space="preserve">TT NICOLE </t>
  </si>
  <si>
    <t xml:space="preserve">SANZANA GARRIDO </t>
  </si>
  <si>
    <t xml:space="preserve">TT PATRICIA </t>
  </si>
  <si>
    <t xml:space="preserve">TT KAREN </t>
  </si>
  <si>
    <t xml:space="preserve">BARRIA OJEDA </t>
  </si>
  <si>
    <t xml:space="preserve">PAC GLORIA </t>
  </si>
  <si>
    <t xml:space="preserve">BARRIA CARDENAS </t>
  </si>
  <si>
    <t>EDUC. PARV.</t>
  </si>
  <si>
    <t xml:space="preserve">ALVARADO SUBIABRE </t>
  </si>
  <si>
    <t xml:space="preserve">TT ORLINDA </t>
  </si>
  <si>
    <t xml:space="preserve">CARDENAS SOTO </t>
  </si>
  <si>
    <t xml:space="preserve">MANIPULADORA DE ALIMENTOS </t>
  </si>
  <si>
    <t xml:space="preserve">GARRIDO NAHUELPAN </t>
  </si>
  <si>
    <t xml:space="preserve">Nivel </t>
  </si>
  <si>
    <t xml:space="preserve"> Matricula  Proyectada</t>
  </si>
  <si>
    <t xml:space="preserve">Cap. Max. </t>
  </si>
  <si>
    <t xml:space="preserve">Personal </t>
  </si>
  <si>
    <t xml:space="preserve">Sala Cuna </t>
  </si>
  <si>
    <t xml:space="preserve">1 educadora   2 técnicos </t>
  </si>
  <si>
    <t>Medio Menor</t>
  </si>
  <si>
    <t xml:space="preserve">1 educadora   2 tecnicos </t>
  </si>
  <si>
    <t xml:space="preserve">Medio Mayor </t>
  </si>
  <si>
    <t xml:space="preserve">1 educadora   1 técnico </t>
  </si>
  <si>
    <t>Transición Integrado</t>
  </si>
  <si>
    <t xml:space="preserve">Total </t>
  </si>
  <si>
    <t xml:space="preserve">Proyeccion 2026 por nivel </t>
  </si>
  <si>
    <t xml:space="preserve">Jardín Infantil TURRON </t>
  </si>
  <si>
    <t>Jardín Infantil PEQUEÑOS ARTISTAS</t>
  </si>
  <si>
    <t xml:space="preserve"> 1,- Se considera dentro del cargo de personal posible reemplazo de educadora, en caso de ser necesario. La proyeccion está hecha a 6 meses, para tener un parametro del costo.</t>
  </si>
  <si>
    <t>EDUC.PARV (reemplazo 6 M)</t>
  </si>
  <si>
    <t xml:space="preserve">TECNICO EN PARV (REEMPLAZOS Y EXT. HORARIA 42 HRS. 10 MESES CONTRATO) </t>
  </si>
  <si>
    <t>GALLARDO CHEUQUE</t>
  </si>
  <si>
    <t>MANIPULADOR DE ALIMENTOS</t>
  </si>
  <si>
    <t>F.F.P.P.    N.N.</t>
  </si>
  <si>
    <t>F.F.P.P.      N.N.</t>
  </si>
  <si>
    <t xml:space="preserve">F.F.P.P. LEONTINA </t>
  </si>
  <si>
    <t xml:space="preserve">F.F.P.P.  ANA </t>
  </si>
  <si>
    <t>F.F.P.P.  YASNA</t>
  </si>
  <si>
    <t xml:space="preserve">VICTOR </t>
  </si>
  <si>
    <t>DIAZ DIAZ</t>
  </si>
  <si>
    <t>CAJERO</t>
  </si>
  <si>
    <t>FINANZAS</t>
  </si>
  <si>
    <t>MARISOL</t>
  </si>
  <si>
    <t>CHIGUAY LLANCALAHUEN</t>
  </si>
  <si>
    <t>ENC. DEUDORES E IVA</t>
  </si>
  <si>
    <t>ANGELICA</t>
  </si>
  <si>
    <t>RIVERA CALISTO</t>
  </si>
  <si>
    <t>TESORERA</t>
  </si>
  <si>
    <t>AURELIA</t>
  </si>
  <si>
    <t>ZUÑIGA AGUILA</t>
  </si>
  <si>
    <t>ENC. PRESUPUESTO</t>
  </si>
  <si>
    <t>CARMEN LUZ</t>
  </si>
  <si>
    <t>OBANDO</t>
  </si>
  <si>
    <t>ENC. RR.HH.</t>
  </si>
  <si>
    <t>ADM. CENTRAL</t>
  </si>
  <si>
    <t>2.- Se considera la contratacion de una 7° técinco, proyectada a 10 meses para ayudar a cubrir los horarios y turnos que se requerirán por la ley de reduccion horaria, que desde abril 2026 se debe ajustar a las 42 horas.</t>
  </si>
  <si>
    <t xml:space="preserve">3.- Se considerará el ingreso de particulares, para poder obtener una mayor cantidad de matrículas para el año 2026 </t>
  </si>
  <si>
    <t>4.-</t>
  </si>
  <si>
    <t xml:space="preserve">Turno extension </t>
  </si>
  <si>
    <t xml:space="preserve">1 técnico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</si>
</sst>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164" formatCode="_-&quot;$&quot;\ * #,##0_-;\-&quot;$&quot;\ * #,##0_-;_-&quot;$&quot;\ * &quot;-&quot;_-;_-@_-"/>
    <numFmt numFmtId="165" formatCode="_-* #,##0.00_-;\-* #,##0.00_-;_-* &quot;-&quot;??_-;_-@_-"/>
    <numFmt numFmtId="166" formatCode="_-* #,##0.00\ &quot;€&quot;_-;\-* #,##0.00\ &quot;€&quot;_-;_-* &quot;-&quot;??\ &quot;€&quot;_-;_-@_-"/>
    <numFmt numFmtId="167" formatCode="_-\$* #,##0.00_-;&quot;-$&quot;* #,##0.00_-;_-\$* \-??_-;_-@_-"/>
    <numFmt numFmtId="168" formatCode="\$#,##0_);&quot;($&quot;#,##0\)"/>
    <numFmt numFmtId="169" formatCode="_-&quot;$ &quot;* #,##0_-;&quot;-$ &quot;* #,##0_-;_-&quot;$ &quot;* \-_-;_-@_-"/>
    <numFmt numFmtId="170" formatCode="0\ %"/>
    <numFmt numFmtId="171" formatCode="0.0%"/>
    <numFmt numFmtId="172" formatCode="#,##0_ ;[Red]\-#,##0\ "/>
    <numFmt numFmtId="173" formatCode="_-* #,##0.00_-;\-* #,##0.00_-;_-* \-??_-;_-@_-"/>
    <numFmt numFmtId="174" formatCode="_-\ * #,##0_-;&quot;$ &quot;* #,##0_-;_-\ * \-_-;_-@_-"/>
    <numFmt numFmtId="175" formatCode="_-* #,##0.0_-;\-* #,##0.0_-;_-* \-??_-;_-@_-"/>
    <numFmt numFmtId="176" formatCode="_(* #,##0_);_(* \(#,##0\);_(* \-_);_(@_)"/>
    <numFmt numFmtId="177" formatCode="_-* #,##0_-;\-* #,##0_-;_-* \-??_-;_-@_-"/>
    <numFmt numFmtId="178" formatCode="&quot;$&quot;\ #,##0"/>
    <numFmt numFmtId="179" formatCode="_-&quot;$&quot;* #,##0_-;\-&quot;$&quot;* #,##0_-;_-&quot;$&quot;* &quot;-&quot;??_-;_-@_-"/>
    <numFmt numFmtId="180" formatCode="#,##0_ ;\-#,##0\ "/>
    <numFmt numFmtId="181" formatCode="0.00\ %"/>
    <numFmt numFmtId="182" formatCode="_-\$* #,##0_-;&quot;-$&quot;* #,##0_-;_-\$* \-??_-;_-@_-"/>
    <numFmt numFmtId="183" formatCode="_-[$$-340A]\ * #,##0_-;\-[$$-340A]\ * #,##0_-;_-[$$-340A]\ * &quot;-&quot;??_-;_-@_-"/>
    <numFmt numFmtId="184" formatCode="_-[$€]* #,##0.00_-;\-[$€]* #,##0.00_-;_-[$€]* &quot;-&quot;??_-;_-@_-"/>
    <numFmt numFmtId="185" formatCode="_-[$€-2]\ * #,##0.00_-;\-[$€-2]\ * #,##0.00_-;_-[$€-2]\ * &quot;-&quot;??_-"/>
    <numFmt numFmtId="186" formatCode="_-&quot;$&quot;\ * #,##0_-;\-&quot;$&quot;\ * #,##0_-;_-&quot;$&quot;\ * &quot;-&quot;??_-;_-@_-"/>
  </numFmts>
  <fonts count="5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10"/>
      <name val="Arial"/>
      <family val="2"/>
    </font>
    <font>
      <b/>
      <sz val="10"/>
      <color indexed="40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b/>
      <u/>
      <sz val="10"/>
      <name val="Arial"/>
      <family val="2"/>
    </font>
    <font>
      <u/>
      <sz val="10"/>
      <color theme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u/>
      <sz val="12"/>
      <color rgb="FF0000CC"/>
      <name val="Arial"/>
      <family val="2"/>
    </font>
    <font>
      <b/>
      <sz val="16"/>
      <name val="Arial"/>
      <family val="2"/>
    </font>
    <font>
      <b/>
      <sz val="10"/>
      <color rgb="FF000099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name val="Verdana"/>
      <family val="2"/>
    </font>
    <font>
      <sz val="10"/>
      <color rgb="FFFF00FF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2"/>
      <color rgb="FFFF0000"/>
      <name val="Arial"/>
      <family val="2"/>
    </font>
    <font>
      <sz val="10"/>
      <color rgb="FF0000CC"/>
      <name val="Arial"/>
      <family val="2"/>
    </font>
    <font>
      <sz val="10"/>
      <color rgb="FF00A249"/>
      <name val="Arial"/>
      <family val="2"/>
    </font>
    <font>
      <sz val="11"/>
      <name val="Calibri"/>
      <family val="2"/>
      <scheme val="minor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name val="Arial"/>
      <family val="2"/>
    </font>
  </fonts>
  <fills count="57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2"/>
      </patternFill>
    </fill>
    <fill>
      <patternFill patternType="solid">
        <fgColor indexed="22"/>
        <bgColor indexed="47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gray125"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4"/>
      </patternFill>
    </fill>
    <fill>
      <patternFill patternType="solid">
        <fgColor theme="0" tint="-0.249977111117893"/>
        <bgColor indexed="4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24"/>
      </patternFill>
    </fill>
    <fill>
      <patternFill patternType="solid">
        <fgColor theme="5" tint="0.39997558519241921"/>
        <bgColor indexed="24"/>
      </patternFill>
    </fill>
    <fill>
      <patternFill patternType="gray125">
        <fgColor auto="1"/>
        <bgColor theme="5" tint="0.79998168889431442"/>
      </patternFill>
    </fill>
    <fill>
      <patternFill patternType="solid">
        <fgColor theme="5" tint="0.39997558519241921"/>
        <bgColor indexed="40"/>
      </patternFill>
    </fill>
    <fill>
      <patternFill patternType="gray125">
        <fgColor auto="1"/>
        <bgColor theme="5" tint="0.39997558519241921"/>
      </patternFill>
    </fill>
    <fill>
      <patternFill patternType="solid">
        <fgColor rgb="FFC00000"/>
        <bgColor indexed="2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24"/>
      </patternFill>
    </fill>
    <fill>
      <patternFill patternType="solid">
        <fgColor theme="3" tint="0.39997558519241921"/>
        <bgColor indexed="44"/>
      </patternFill>
    </fill>
    <fill>
      <patternFill patternType="gray125">
        <fgColor auto="1"/>
        <bgColor theme="3" tint="0.39997558519241921"/>
      </patternFill>
    </fill>
    <fill>
      <patternFill patternType="solid">
        <fgColor theme="3" tint="-0.249977111117893"/>
        <bgColor indexed="24"/>
      </patternFill>
    </fill>
    <fill>
      <patternFill patternType="solid">
        <fgColor theme="3" tint="0.39997558519241921"/>
        <bgColor indexed="26"/>
      </patternFill>
    </fill>
    <fill>
      <patternFill patternType="solid">
        <fgColor theme="3" tint="-0.249977111117893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69D8FF"/>
        <bgColor indexed="24"/>
      </patternFill>
    </fill>
    <fill>
      <patternFill patternType="solid">
        <fgColor theme="4" tint="0.59999389629810485"/>
        <bgColor indexed="24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5" tint="0.79998168889431442"/>
        <bgColor auto="1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gray125">
        <bgColor theme="3" tint="0.79998168889431442"/>
      </patternFill>
    </fill>
    <fill>
      <patternFill patternType="gray125">
        <bgColor theme="0" tint="-0.14999847407452621"/>
      </patternFill>
    </fill>
    <fill>
      <patternFill patternType="gray125">
        <bgColor theme="3" tint="0.79995117038483843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7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8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medium">
        <color indexed="64"/>
      </bottom>
      <diagonal/>
    </border>
    <border>
      <left/>
      <right style="thin">
        <color auto="1"/>
      </right>
      <top style="thin">
        <color indexed="8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auto="1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auto="1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7">
    <xf numFmtId="0" fontId="0" fillId="0" borderId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2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7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73" fontId="15" fillId="0" borderId="0"/>
    <xf numFmtId="167" fontId="15" fillId="0" borderId="0"/>
    <xf numFmtId="0" fontId="9" fillId="8" borderId="0" applyNumberFormat="0" applyBorder="0" applyAlignment="0" applyProtection="0"/>
    <xf numFmtId="0" fontId="6" fillId="8" borderId="1" applyNumberFormat="0" applyAlignment="0" applyProtection="0"/>
    <xf numFmtId="170" fontId="15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84" fontId="32" fillId="0" borderId="0" applyFont="0" applyFill="0" applyBorder="0" applyAlignment="0" applyProtection="0"/>
    <xf numFmtId="185" fontId="33" fillId="0" borderId="0" applyFont="0" applyFill="0" applyBorder="0" applyAlignment="0" applyProtection="0"/>
    <xf numFmtId="185" fontId="33" fillId="0" borderId="0" applyFont="0" applyFill="0" applyBorder="0" applyAlignment="0" applyProtection="0"/>
    <xf numFmtId="173" fontId="15" fillId="0" borderId="0" applyFill="0" applyBorder="0" applyAlignment="0" applyProtection="0"/>
    <xf numFmtId="167" fontId="15" fillId="0" borderId="0" applyFill="0" applyBorder="0" applyAlignment="0" applyProtection="0"/>
    <xf numFmtId="166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9" fontId="15" fillId="0" borderId="0" applyFill="0" applyBorder="0" applyAlignment="0" applyProtection="0"/>
    <xf numFmtId="164" fontId="15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6" fillId="8" borderId="268" applyNumberFormat="0" applyAlignment="0" applyProtection="0"/>
    <xf numFmtId="0" fontId="6" fillId="8" borderId="258" applyNumberFormat="0" applyAlignment="0" applyProtection="0"/>
    <xf numFmtId="0" fontId="6" fillId="8" borderId="255" applyNumberFormat="0" applyAlignment="0" applyProtection="0"/>
    <xf numFmtId="0" fontId="6" fillId="8" borderId="259" applyNumberFormat="0" applyAlignment="0" applyProtection="0"/>
    <xf numFmtId="0" fontId="6" fillId="8" borderId="266" applyNumberFormat="0" applyAlignment="0" applyProtection="0"/>
    <xf numFmtId="0" fontId="1" fillId="0" borderId="0"/>
    <xf numFmtId="165" fontId="1" fillId="0" borderId="0" applyFont="0" applyFill="0" applyBorder="0" applyAlignment="0" applyProtection="0"/>
    <xf numFmtId="0" fontId="6" fillId="8" borderId="260" applyNumberFormat="0" applyAlignment="0" applyProtection="0"/>
    <xf numFmtId="0" fontId="6" fillId="8" borderId="261" applyNumberFormat="0" applyAlignment="0" applyProtection="0"/>
    <xf numFmtId="0" fontId="6" fillId="8" borderId="262" applyNumberFormat="0" applyAlignment="0" applyProtection="0"/>
    <xf numFmtId="0" fontId="6" fillId="8" borderId="270" applyNumberFormat="0" applyAlignment="0" applyProtection="0"/>
    <xf numFmtId="0" fontId="6" fillId="8" borderId="271" applyNumberFormat="0" applyAlignment="0" applyProtection="0"/>
    <xf numFmtId="0" fontId="6" fillId="8" borderId="272" applyNumberFormat="0" applyAlignment="0" applyProtection="0"/>
  </cellStyleXfs>
  <cellXfs count="959">
    <xf numFmtId="0" fontId="0" fillId="0" borderId="0" xfId="0"/>
    <xf numFmtId="170" fontId="0" fillId="0" borderId="0" xfId="16" applyFont="1"/>
    <xf numFmtId="0" fontId="0" fillId="0" borderId="0" xfId="0" applyAlignment="1">
      <alignment vertical="center"/>
    </xf>
    <xf numFmtId="0" fontId="17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4" fillId="9" borderId="0" xfId="0" applyFont="1" applyFill="1" applyAlignment="1">
      <alignment horizontal="left" vertical="center"/>
    </xf>
    <xf numFmtId="169" fontId="14" fillId="9" borderId="0" xfId="13" applyNumberFormat="1" applyFont="1" applyFill="1" applyAlignment="1">
      <alignment vertical="center"/>
    </xf>
    <xf numFmtId="167" fontId="14" fillId="0" borderId="0" xfId="13" applyFont="1" applyAlignment="1">
      <alignment vertical="center"/>
    </xf>
    <xf numFmtId="172" fontId="14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169" fontId="14" fillId="0" borderId="0" xfId="0" applyNumberFormat="1" applyFont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167" fontId="0" fillId="0" borderId="0" xfId="13" applyFont="1" applyAlignment="1">
      <alignment vertical="center"/>
    </xf>
    <xf numFmtId="170" fontId="17" fillId="0" borderId="0" xfId="16" applyFont="1" applyAlignment="1">
      <alignment vertical="center"/>
    </xf>
    <xf numFmtId="175" fontId="0" fillId="0" borderId="0" xfId="12" applyNumberFormat="1" applyFont="1" applyAlignment="1">
      <alignment vertical="center"/>
    </xf>
    <xf numFmtId="0" fontId="0" fillId="11" borderId="0" xfId="0" applyFill="1" applyAlignment="1">
      <alignment horizontal="left" vertical="center"/>
    </xf>
    <xf numFmtId="178" fontId="0" fillId="11" borderId="0" xfId="0" applyNumberFormat="1" applyFill="1" applyAlignment="1">
      <alignment horizontal="right" vertical="center"/>
    </xf>
    <xf numFmtId="0" fontId="0" fillId="11" borderId="0" xfId="0" applyFill="1"/>
    <xf numFmtId="17" fontId="19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11" borderId="0" xfId="0" applyFill="1" applyAlignment="1">
      <alignment vertical="center"/>
    </xf>
    <xf numFmtId="178" fontId="0" fillId="0" borderId="0" xfId="0" applyNumberFormat="1" applyAlignment="1">
      <alignment horizontal="right" vertical="center"/>
    </xf>
    <xf numFmtId="9" fontId="0" fillId="0" borderId="0" xfId="0" applyNumberFormat="1" applyAlignment="1">
      <alignment horizontal="center" vertical="center"/>
    </xf>
    <xf numFmtId="178" fontId="14" fillId="0" borderId="0" xfId="0" applyNumberFormat="1" applyFont="1"/>
    <xf numFmtId="178" fontId="14" fillId="11" borderId="0" xfId="0" applyNumberFormat="1" applyFont="1" applyFill="1" applyAlignment="1">
      <alignment horizontal="right" vertical="center"/>
    </xf>
    <xf numFmtId="9" fontId="0" fillId="11" borderId="0" xfId="0" applyNumberFormat="1" applyFill="1" applyAlignment="1">
      <alignment horizontal="center" vertical="center"/>
    </xf>
    <xf numFmtId="178" fontId="0" fillId="0" borderId="0" xfId="0" applyNumberFormat="1"/>
    <xf numFmtId="178" fontId="0" fillId="11" borderId="0" xfId="0" applyNumberFormat="1" applyFill="1"/>
    <xf numFmtId="0" fontId="0" fillId="11" borderId="0" xfId="0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/>
    <xf numFmtId="170" fontId="14" fillId="0" borderId="0" xfId="16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1" fontId="0" fillId="0" borderId="0" xfId="16" applyNumberFormat="1" applyFont="1"/>
    <xf numFmtId="0" fontId="14" fillId="0" borderId="0" xfId="0" applyFont="1" applyAlignment="1">
      <alignment horizontal="center"/>
    </xf>
    <xf numFmtId="178" fontId="14" fillId="0" borderId="0" xfId="0" applyNumberFormat="1" applyFont="1" applyAlignment="1">
      <alignment horizontal="center" vertical="center" wrapText="1"/>
    </xf>
    <xf numFmtId="168" fontId="25" fillId="30" borderId="27" xfId="0" applyNumberFormat="1" applyFont="1" applyFill="1" applyBorder="1" applyAlignment="1">
      <alignment vertical="center"/>
    </xf>
    <xf numFmtId="168" fontId="14" fillId="32" borderId="32" xfId="13" applyNumberFormat="1" applyFont="1" applyFill="1" applyBorder="1" applyAlignment="1">
      <alignment vertical="center"/>
    </xf>
    <xf numFmtId="0" fontId="14" fillId="16" borderId="22" xfId="0" applyFont="1" applyFill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178" fontId="14" fillId="26" borderId="22" xfId="0" applyNumberFormat="1" applyFont="1" applyFill="1" applyBorder="1" applyAlignment="1">
      <alignment horizontal="center" vertical="center"/>
    </xf>
    <xf numFmtId="171" fontId="14" fillId="19" borderId="22" xfId="16" applyNumberFormat="1" applyFont="1" applyFill="1" applyBorder="1" applyAlignment="1">
      <alignment horizontal="center" vertical="center"/>
    </xf>
    <xf numFmtId="178" fontId="0" fillId="26" borderId="22" xfId="0" applyNumberFormat="1" applyFill="1" applyBorder="1" applyAlignment="1">
      <alignment horizontal="center" vertical="center"/>
    </xf>
    <xf numFmtId="178" fontId="24" fillId="26" borderId="18" xfId="0" applyNumberFormat="1" applyFont="1" applyFill="1" applyBorder="1" applyAlignment="1">
      <alignment horizontal="right" vertical="center"/>
    </xf>
    <xf numFmtId="170" fontId="16" fillId="19" borderId="6" xfId="16" applyFont="1" applyFill="1" applyBorder="1" applyAlignment="1">
      <alignment horizontal="center" vertical="center"/>
    </xf>
    <xf numFmtId="179" fontId="0" fillId="0" borderId="0" xfId="13" applyNumberFormat="1" applyFont="1" applyAlignment="1">
      <alignment vertical="center"/>
    </xf>
    <xf numFmtId="0" fontId="0" fillId="12" borderId="30" xfId="0" applyFill="1" applyBorder="1" applyAlignment="1" applyProtection="1">
      <alignment horizontal="left" vertical="center"/>
      <protection locked="0"/>
    </xf>
    <xf numFmtId="0" fontId="0" fillId="12" borderId="34" xfId="0" applyFill="1" applyBorder="1" applyAlignment="1" applyProtection="1">
      <alignment horizontal="left" vertical="center"/>
      <protection locked="0"/>
    </xf>
    <xf numFmtId="0" fontId="0" fillId="12" borderId="17" xfId="0" applyFill="1" applyBorder="1" applyAlignment="1" applyProtection="1">
      <alignment horizontal="left" vertical="center"/>
      <protection locked="0"/>
    </xf>
    <xf numFmtId="0" fontId="0" fillId="12" borderId="23" xfId="0" applyFill="1" applyBorder="1" applyAlignment="1" applyProtection="1">
      <alignment horizontal="left" vertical="center"/>
      <protection locked="0"/>
    </xf>
    <xf numFmtId="0" fontId="0" fillId="12" borderId="23" xfId="0" applyFill="1" applyBorder="1" applyProtection="1">
      <protection locked="0"/>
    </xf>
    <xf numFmtId="0" fontId="0" fillId="12" borderId="20" xfId="0" applyFill="1" applyBorder="1" applyProtection="1">
      <protection locked="0"/>
    </xf>
    <xf numFmtId="170" fontId="15" fillId="0" borderId="22" xfId="16" applyBorder="1" applyAlignment="1">
      <alignment horizontal="center" vertical="center"/>
    </xf>
    <xf numFmtId="170" fontId="14" fillId="16" borderId="22" xfId="16" applyFont="1" applyFill="1" applyBorder="1" applyAlignment="1">
      <alignment horizontal="center" vertic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12" borderId="53" xfId="0" applyFill="1" applyBorder="1" applyProtection="1">
      <protection locked="0"/>
    </xf>
    <xf numFmtId="169" fontId="14" fillId="35" borderId="6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170" fontId="30" fillId="0" borderId="0" xfId="16" applyFont="1" applyAlignment="1">
      <alignment horizontal="center" vertical="center"/>
    </xf>
    <xf numFmtId="0" fontId="14" fillId="0" borderId="2" xfId="0" applyFont="1" applyBorder="1" applyAlignment="1">
      <alignment horizontal="right" vertical="center"/>
    </xf>
    <xf numFmtId="0" fontId="26" fillId="11" borderId="0" xfId="0" applyFont="1" applyFill="1" applyAlignment="1">
      <alignment horizontal="left" vertical="center" indent="2"/>
    </xf>
    <xf numFmtId="0" fontId="26" fillId="0" borderId="0" xfId="0" applyFont="1" applyAlignment="1">
      <alignment horizontal="left" vertical="center" indent="2"/>
    </xf>
    <xf numFmtId="179" fontId="0" fillId="12" borderId="68" xfId="13" applyNumberFormat="1" applyFont="1" applyFill="1" applyBorder="1" applyAlignment="1" applyProtection="1">
      <alignment vertical="center"/>
      <protection locked="0"/>
    </xf>
    <xf numFmtId="179" fontId="0" fillId="12" borderId="69" xfId="13" applyNumberFormat="1" applyFont="1" applyFill="1" applyBorder="1" applyAlignment="1" applyProtection="1">
      <alignment vertical="center"/>
      <protection locked="0"/>
    </xf>
    <xf numFmtId="0" fontId="0" fillId="12" borderId="70" xfId="0" applyFill="1" applyBorder="1" applyAlignment="1" applyProtection="1">
      <alignment horizontal="left" vertical="center"/>
      <protection locked="0"/>
    </xf>
    <xf numFmtId="0" fontId="0" fillId="12" borderId="70" xfId="0" applyFill="1" applyBorder="1" applyProtection="1">
      <protection locked="0"/>
    </xf>
    <xf numFmtId="0" fontId="0" fillId="12" borderId="71" xfId="0" applyFill="1" applyBorder="1" applyProtection="1">
      <protection locked="0"/>
    </xf>
    <xf numFmtId="179" fontId="0" fillId="12" borderId="70" xfId="13" applyNumberFormat="1" applyFont="1" applyFill="1" applyBorder="1" applyAlignment="1" applyProtection="1">
      <alignment vertical="center"/>
      <protection locked="0"/>
    </xf>
    <xf numFmtId="0" fontId="0" fillId="12" borderId="68" xfId="0" applyFill="1" applyBorder="1" applyAlignment="1" applyProtection="1">
      <alignment horizontal="left" vertical="center"/>
      <protection locked="0"/>
    </xf>
    <xf numFmtId="0" fontId="0" fillId="12" borderId="68" xfId="0" applyFill="1" applyBorder="1" applyProtection="1">
      <protection locked="0"/>
    </xf>
    <xf numFmtId="0" fontId="0" fillId="12" borderId="73" xfId="0" applyFill="1" applyBorder="1" applyProtection="1">
      <protection locked="0"/>
    </xf>
    <xf numFmtId="0" fontId="0" fillId="12" borderId="66" xfId="0" applyFill="1" applyBorder="1" applyAlignment="1" applyProtection="1">
      <alignment horizontal="left" vertical="center"/>
      <protection locked="0"/>
    </xf>
    <xf numFmtId="0" fontId="0" fillId="12" borderId="66" xfId="0" applyFill="1" applyBorder="1" applyProtection="1">
      <protection locked="0"/>
    </xf>
    <xf numFmtId="0" fontId="0" fillId="12" borderId="69" xfId="0" applyFill="1" applyBorder="1" applyAlignment="1" applyProtection="1">
      <alignment horizontal="left" vertical="center"/>
      <protection locked="0"/>
    </xf>
    <xf numFmtId="0" fontId="0" fillId="12" borderId="69" xfId="0" applyFill="1" applyBorder="1" applyProtection="1">
      <protection locked="0"/>
    </xf>
    <xf numFmtId="0" fontId="0" fillId="12" borderId="75" xfId="0" applyFill="1" applyBorder="1" applyProtection="1">
      <protection locked="0"/>
    </xf>
    <xf numFmtId="178" fontId="0" fillId="0" borderId="76" xfId="0" applyNumberFormat="1" applyBorder="1" applyAlignment="1">
      <alignment horizontal="right" vertical="center"/>
    </xf>
    <xf numFmtId="178" fontId="0" fillId="0" borderId="78" xfId="0" applyNumberFormat="1" applyBorder="1" applyAlignment="1">
      <alignment horizontal="right" vertical="center"/>
    </xf>
    <xf numFmtId="178" fontId="0" fillId="0" borderId="79" xfId="0" applyNumberFormat="1" applyBorder="1" applyAlignment="1">
      <alignment horizontal="right" vertical="center"/>
    </xf>
    <xf numFmtId="0" fontId="14" fillId="16" borderId="53" xfId="0" applyFont="1" applyFill="1" applyBorder="1" applyAlignment="1">
      <alignment horizontal="center" vertical="center" wrapText="1"/>
    </xf>
    <xf numFmtId="0" fontId="14" fillId="16" borderId="23" xfId="0" applyFont="1" applyFill="1" applyBorder="1" applyAlignment="1">
      <alignment horizontal="center" vertical="center" wrapText="1"/>
    </xf>
    <xf numFmtId="0" fontId="14" fillId="16" borderId="39" xfId="0" applyFont="1" applyFill="1" applyBorder="1" applyAlignment="1">
      <alignment horizontal="center" vertical="center" wrapText="1"/>
    </xf>
    <xf numFmtId="179" fontId="0" fillId="12" borderId="73" xfId="13" applyNumberFormat="1" applyFont="1" applyFill="1" applyBorder="1" applyAlignment="1" applyProtection="1">
      <alignment vertical="center"/>
      <protection locked="0"/>
    </xf>
    <xf numFmtId="179" fontId="0" fillId="12" borderId="75" xfId="13" applyNumberFormat="1" applyFont="1" applyFill="1" applyBorder="1" applyAlignment="1" applyProtection="1">
      <alignment vertical="center"/>
      <protection locked="0"/>
    </xf>
    <xf numFmtId="179" fontId="0" fillId="12" borderId="71" xfId="13" applyNumberFormat="1" applyFont="1" applyFill="1" applyBorder="1" applyAlignment="1" applyProtection="1">
      <alignment vertical="center"/>
      <protection locked="0"/>
    </xf>
    <xf numFmtId="178" fontId="0" fillId="29" borderId="78" xfId="0" applyNumberFormat="1" applyFill="1" applyBorder="1" applyAlignment="1">
      <alignment horizontal="right" vertical="center"/>
    </xf>
    <xf numFmtId="178" fontId="0" fillId="29" borderId="79" xfId="0" applyNumberFormat="1" applyFill="1" applyBorder="1" applyAlignment="1">
      <alignment horizontal="right" vertical="center"/>
    </xf>
    <xf numFmtId="178" fontId="0" fillId="29" borderId="76" xfId="0" applyNumberFormat="1" applyFill="1" applyBorder="1" applyAlignment="1">
      <alignment horizontal="right" vertical="center"/>
    </xf>
    <xf numFmtId="178" fontId="0" fillId="29" borderId="72" xfId="0" applyNumberFormat="1" applyFill="1" applyBorder="1" applyAlignment="1">
      <alignment horizontal="right" vertical="center"/>
    </xf>
    <xf numFmtId="178" fontId="0" fillId="29" borderId="80" xfId="0" applyNumberFormat="1" applyFill="1" applyBorder="1" applyAlignment="1">
      <alignment horizontal="right" vertical="center"/>
    </xf>
    <xf numFmtId="178" fontId="0" fillId="0" borderId="72" xfId="0" applyNumberFormat="1" applyBorder="1" applyAlignment="1">
      <alignment horizontal="right" vertical="center"/>
    </xf>
    <xf numFmtId="178" fontId="0" fillId="0" borderId="80" xfId="0" applyNumberFormat="1" applyBorder="1" applyAlignment="1">
      <alignment horizontal="right" vertical="center"/>
    </xf>
    <xf numFmtId="0" fontId="0" fillId="12" borderId="81" xfId="0" applyFill="1" applyBorder="1" applyAlignment="1" applyProtection="1">
      <alignment horizontal="left" vertical="center"/>
      <protection locked="0"/>
    </xf>
    <xf numFmtId="0" fontId="0" fillId="12" borderId="82" xfId="0" applyFill="1" applyBorder="1" applyAlignment="1" applyProtection="1">
      <alignment horizontal="left" vertical="center"/>
      <protection locked="0"/>
    </xf>
    <xf numFmtId="0" fontId="26" fillId="0" borderId="0" xfId="0" applyFont="1" applyAlignment="1">
      <alignment vertical="center"/>
    </xf>
    <xf numFmtId="0" fontId="12" fillId="23" borderId="69" xfId="0" applyFont="1" applyFill="1" applyBorder="1" applyAlignment="1">
      <alignment horizontal="left" vertical="center"/>
    </xf>
    <xf numFmtId="0" fontId="12" fillId="20" borderId="69" xfId="0" applyFont="1" applyFill="1" applyBorder="1" applyAlignment="1">
      <alignment horizontal="left" vertical="center"/>
    </xf>
    <xf numFmtId="176" fontId="20" fillId="0" borderId="69" xfId="0" applyNumberFormat="1" applyFont="1" applyBorder="1" applyAlignment="1">
      <alignment horizontal="left"/>
    </xf>
    <xf numFmtId="0" fontId="14" fillId="21" borderId="69" xfId="0" applyFont="1" applyFill="1" applyBorder="1" applyAlignment="1">
      <alignment horizontal="center" vertical="center"/>
    </xf>
    <xf numFmtId="0" fontId="14" fillId="20" borderId="69" xfId="0" applyFont="1" applyFill="1" applyBorder="1" applyAlignment="1">
      <alignment horizontal="center" vertical="center" wrapText="1"/>
    </xf>
    <xf numFmtId="1" fontId="0" fillId="0" borderId="69" xfId="0" applyNumberFormat="1" applyBorder="1" applyAlignment="1">
      <alignment horizontal="center" vertical="center" wrapText="1"/>
    </xf>
    <xf numFmtId="169" fontId="12" fillId="23" borderId="69" xfId="13" applyNumberFormat="1" applyFont="1" applyFill="1" applyBorder="1" applyAlignment="1">
      <alignment horizontal="center" vertical="center"/>
    </xf>
    <xf numFmtId="169" fontId="12" fillId="20" borderId="69" xfId="13" applyNumberFormat="1" applyFont="1" applyFill="1" applyBorder="1" applyAlignment="1">
      <alignment horizontal="center" vertical="center"/>
    </xf>
    <xf numFmtId="169" fontId="0" fillId="12" borderId="69" xfId="13" applyNumberFormat="1" applyFont="1" applyFill="1" applyBorder="1" applyAlignment="1" applyProtection="1">
      <alignment vertical="center"/>
      <protection locked="0"/>
    </xf>
    <xf numFmtId="0" fontId="14" fillId="31" borderId="69" xfId="0" applyFont="1" applyFill="1" applyBorder="1" applyAlignment="1">
      <alignment horizontal="center" vertical="center" wrapText="1"/>
    </xf>
    <xf numFmtId="0" fontId="14" fillId="32" borderId="69" xfId="0" applyFont="1" applyFill="1" applyBorder="1" applyAlignment="1">
      <alignment horizontal="left" vertical="center"/>
    </xf>
    <xf numFmtId="169" fontId="14" fillId="31" borderId="69" xfId="0" applyNumberFormat="1" applyFont="1" applyFill="1" applyBorder="1" applyAlignment="1">
      <alignment horizontal="center" vertical="center" wrapText="1"/>
    </xf>
    <xf numFmtId="9" fontId="0" fillId="12" borderId="83" xfId="0" applyNumberFormat="1" applyFill="1" applyBorder="1" applyAlignment="1" applyProtection="1">
      <alignment horizontal="center" vertical="center"/>
      <protection locked="0"/>
    </xf>
    <xf numFmtId="183" fontId="0" fillId="11" borderId="0" xfId="0" applyNumberFormat="1" applyFill="1"/>
    <xf numFmtId="182" fontId="0" fillId="11" borderId="0" xfId="0" applyNumberFormat="1" applyFill="1"/>
    <xf numFmtId="180" fontId="0" fillId="12" borderId="109" xfId="13" applyNumberFormat="1" applyFont="1" applyFill="1" applyBorder="1" applyAlignment="1" applyProtection="1">
      <alignment horizontal="center" vertical="center"/>
      <protection locked="0"/>
    </xf>
    <xf numFmtId="170" fontId="15" fillId="0" borderId="0" xfId="16"/>
    <xf numFmtId="182" fontId="15" fillId="0" borderId="0" xfId="13" applyNumberFormat="1"/>
    <xf numFmtId="0" fontId="24" fillId="12" borderId="41" xfId="0" applyFont="1" applyFill="1" applyBorder="1" applyAlignment="1" applyProtection="1">
      <alignment horizontal="center" vertical="center"/>
      <protection locked="0"/>
    </xf>
    <xf numFmtId="9" fontId="0" fillId="12" borderId="107" xfId="0" applyNumberFormat="1" applyFill="1" applyBorder="1" applyAlignment="1" applyProtection="1">
      <alignment horizontal="center" vertical="center"/>
      <protection locked="0"/>
    </xf>
    <xf numFmtId="178" fontId="0" fillId="0" borderId="108" xfId="0" applyNumberFormat="1" applyBorder="1" applyAlignment="1">
      <alignment horizontal="right" vertical="center"/>
    </xf>
    <xf numFmtId="178" fontId="0" fillId="0" borderId="73" xfId="0" applyNumberFormat="1" applyBorder="1" applyAlignment="1">
      <alignment horizontal="right" vertical="center"/>
    </xf>
    <xf numFmtId="178" fontId="0" fillId="0" borderId="116" xfId="0" applyNumberFormat="1" applyBorder="1" applyAlignment="1">
      <alignment horizontal="right" vertical="center"/>
    </xf>
    <xf numFmtId="178" fontId="0" fillId="0" borderId="102" xfId="0" applyNumberFormat="1" applyBorder="1" applyAlignment="1">
      <alignment horizontal="right" vertical="center"/>
    </xf>
    <xf numFmtId="9" fontId="0" fillId="12" borderId="111" xfId="0" applyNumberFormat="1" applyFill="1" applyBorder="1" applyAlignment="1" applyProtection="1">
      <alignment horizontal="center" vertical="center"/>
      <protection locked="0"/>
    </xf>
    <xf numFmtId="0" fontId="11" fillId="14" borderId="111" xfId="0" applyFont="1" applyFill="1" applyBorder="1" applyAlignment="1">
      <alignment horizontal="center" vertical="center"/>
    </xf>
    <xf numFmtId="0" fontId="11" fillId="47" borderId="110" xfId="0" applyFont="1" applyFill="1" applyBorder="1" applyAlignment="1">
      <alignment horizontal="center" vertical="center"/>
    </xf>
    <xf numFmtId="0" fontId="11" fillId="14" borderId="102" xfId="0" applyFont="1" applyFill="1" applyBorder="1" applyAlignment="1">
      <alignment horizontal="center" vertical="center"/>
    </xf>
    <xf numFmtId="0" fontId="11" fillId="47" borderId="122" xfId="0" applyFont="1" applyFill="1" applyBorder="1" applyAlignment="1">
      <alignment horizontal="center" vertical="center"/>
    </xf>
    <xf numFmtId="170" fontId="0" fillId="12" borderId="85" xfId="16" applyFont="1" applyFill="1" applyBorder="1" applyAlignment="1" applyProtection="1">
      <alignment horizontal="center" vertical="center"/>
      <protection locked="0"/>
    </xf>
    <xf numFmtId="170" fontId="0" fillId="12" borderId="123" xfId="16" applyFont="1" applyFill="1" applyBorder="1" applyAlignment="1" applyProtection="1">
      <alignment horizontal="center" vertical="center"/>
      <protection locked="0"/>
    </xf>
    <xf numFmtId="170" fontId="0" fillId="12" borderId="122" xfId="16" applyFont="1" applyFill="1" applyBorder="1" applyAlignment="1" applyProtection="1">
      <alignment horizontal="center" vertical="center"/>
      <protection locked="0"/>
    </xf>
    <xf numFmtId="178" fontId="0" fillId="0" borderId="105" xfId="0" applyNumberFormat="1" applyBorder="1" applyAlignment="1">
      <alignment horizontal="right" vertical="center"/>
    </xf>
    <xf numFmtId="178" fontId="0" fillId="0" borderId="110" xfId="0" applyNumberFormat="1" applyBorder="1" applyAlignment="1">
      <alignment horizontal="right" vertical="center"/>
    </xf>
    <xf numFmtId="0" fontId="26" fillId="0" borderId="0" xfId="0" applyFont="1" applyAlignment="1">
      <alignment vertical="center" wrapText="1"/>
    </xf>
    <xf numFmtId="0" fontId="11" fillId="48" borderId="111" xfId="0" applyFont="1" applyFill="1" applyBorder="1" applyAlignment="1">
      <alignment horizontal="center" vertical="center"/>
    </xf>
    <xf numFmtId="0" fontId="11" fillId="48" borderId="110" xfId="0" applyFont="1" applyFill="1" applyBorder="1" applyAlignment="1">
      <alignment horizontal="center" vertical="center"/>
    </xf>
    <xf numFmtId="170" fontId="31" fillId="0" borderId="87" xfId="16" applyFont="1" applyBorder="1" applyAlignment="1">
      <alignment horizontal="center" vertical="center"/>
    </xf>
    <xf numFmtId="170" fontId="31" fillId="0" borderId="90" xfId="16" applyFont="1" applyBorder="1" applyAlignment="1">
      <alignment horizontal="center" vertical="center"/>
    </xf>
    <xf numFmtId="178" fontId="0" fillId="27" borderId="89" xfId="0" applyNumberFormat="1" applyFill="1" applyBorder="1" applyAlignment="1">
      <alignment horizontal="right" vertical="center"/>
    </xf>
    <xf numFmtId="178" fontId="0" fillId="27" borderId="126" xfId="0" applyNumberFormat="1" applyFill="1" applyBorder="1" applyAlignment="1">
      <alignment horizontal="right" vertical="center"/>
    </xf>
    <xf numFmtId="0" fontId="0" fillId="11" borderId="128" xfId="0" applyFill="1" applyBorder="1"/>
    <xf numFmtId="0" fontId="0" fillId="11" borderId="129" xfId="0" applyFill="1" applyBorder="1"/>
    <xf numFmtId="0" fontId="0" fillId="11" borderId="130" xfId="0" applyFill="1" applyBorder="1"/>
    <xf numFmtId="0" fontId="0" fillId="11" borderId="118" xfId="0" applyFill="1" applyBorder="1"/>
    <xf numFmtId="0" fontId="0" fillId="11" borderId="65" xfId="0" applyFill="1" applyBorder="1"/>
    <xf numFmtId="0" fontId="26" fillId="0" borderId="118" xfId="0" applyFont="1" applyBorder="1" applyAlignment="1">
      <alignment vertical="center"/>
    </xf>
    <xf numFmtId="0" fontId="11" fillId="14" borderId="112" xfId="0" applyFont="1" applyFill="1" applyBorder="1" applyAlignment="1">
      <alignment horizontal="center" vertical="center"/>
    </xf>
    <xf numFmtId="0" fontId="11" fillId="14" borderId="127" xfId="0" applyFont="1" applyFill="1" applyBorder="1" applyAlignment="1">
      <alignment horizontal="center" vertical="center"/>
    </xf>
    <xf numFmtId="0" fontId="11" fillId="48" borderId="112" xfId="0" applyFont="1" applyFill="1" applyBorder="1" applyAlignment="1">
      <alignment horizontal="center" vertical="center"/>
    </xf>
    <xf numFmtId="0" fontId="11" fillId="48" borderId="127" xfId="0" applyFont="1" applyFill="1" applyBorder="1" applyAlignment="1">
      <alignment horizontal="center" vertical="center"/>
    </xf>
    <xf numFmtId="0" fontId="11" fillId="47" borderId="112" xfId="0" applyFont="1" applyFill="1" applyBorder="1" applyAlignment="1">
      <alignment horizontal="center" vertical="center"/>
    </xf>
    <xf numFmtId="0" fontId="11" fillId="47" borderId="127" xfId="0" applyFont="1" applyFill="1" applyBorder="1" applyAlignment="1">
      <alignment horizontal="center" vertical="center"/>
    </xf>
    <xf numFmtId="178" fontId="0" fillId="26" borderId="104" xfId="0" applyNumberFormat="1" applyFill="1" applyBorder="1" applyAlignment="1">
      <alignment horizontal="right" vertical="center"/>
    </xf>
    <xf numFmtId="178" fontId="0" fillId="26" borderId="105" xfId="0" applyNumberFormat="1" applyFill="1" applyBorder="1" applyAlignment="1">
      <alignment horizontal="right" vertical="center"/>
    </xf>
    <xf numFmtId="0" fontId="0" fillId="11" borderId="119" xfId="0" applyFill="1" applyBorder="1"/>
    <xf numFmtId="0" fontId="0" fillId="11" borderId="125" xfId="0" applyFill="1" applyBorder="1"/>
    <xf numFmtId="0" fontId="0" fillId="11" borderId="61" xfId="0" applyFill="1" applyBorder="1"/>
    <xf numFmtId="169" fontId="12" fillId="20" borderId="69" xfId="13" applyNumberFormat="1" applyFont="1" applyFill="1" applyBorder="1" applyAlignment="1" applyProtection="1">
      <alignment horizontal="center" vertical="center"/>
      <protection locked="0"/>
    </xf>
    <xf numFmtId="9" fontId="0" fillId="44" borderId="83" xfId="0" applyNumberFormat="1" applyFill="1" applyBorder="1" applyAlignment="1">
      <alignment horizontal="center" vertical="center"/>
    </xf>
    <xf numFmtId="9" fontId="0" fillId="44" borderId="104" xfId="0" applyNumberFormat="1" applyFill="1" applyBorder="1" applyAlignment="1">
      <alignment horizontal="center" vertical="center"/>
    </xf>
    <xf numFmtId="170" fontId="0" fillId="44" borderId="104" xfId="16" applyFont="1" applyFill="1" applyBorder="1" applyAlignment="1">
      <alignment horizontal="center" vertical="center"/>
    </xf>
    <xf numFmtId="0" fontId="14" fillId="16" borderId="127" xfId="0" applyFont="1" applyFill="1" applyBorder="1" applyAlignment="1">
      <alignment horizontal="center" vertical="center" wrapText="1"/>
    </xf>
    <xf numFmtId="0" fontId="0" fillId="12" borderId="109" xfId="0" applyFill="1" applyBorder="1" applyAlignment="1" applyProtection="1">
      <alignment horizontal="left" vertical="center"/>
      <protection locked="0"/>
    </xf>
    <xf numFmtId="178" fontId="24" fillId="28" borderId="52" xfId="0" applyNumberFormat="1" applyFont="1" applyFill="1" applyBorder="1" applyAlignment="1">
      <alignment vertical="center"/>
    </xf>
    <xf numFmtId="0" fontId="0" fillId="12" borderId="111" xfId="0" applyFill="1" applyBorder="1" applyAlignment="1" applyProtection="1">
      <alignment horizontal="left" vertical="center"/>
      <protection locked="0"/>
    </xf>
    <xf numFmtId="169" fontId="0" fillId="12" borderId="110" xfId="13" applyNumberFormat="1" applyFont="1" applyFill="1" applyBorder="1" applyAlignment="1" applyProtection="1">
      <alignment vertical="center"/>
      <protection locked="0"/>
    </xf>
    <xf numFmtId="181" fontId="15" fillId="37" borderId="109" xfId="16" applyNumberFormat="1" applyFill="1" applyBorder="1" applyAlignment="1">
      <alignment horizontal="center" vertical="center"/>
    </xf>
    <xf numFmtId="0" fontId="22" fillId="0" borderId="0" xfId="20" applyFill="1" applyBorder="1" applyAlignment="1" applyProtection="1">
      <alignment vertical="center"/>
    </xf>
    <xf numFmtId="0" fontId="22" fillId="11" borderId="0" xfId="20" applyFill="1" applyBorder="1" applyAlignment="1" applyProtection="1">
      <alignment vertical="center"/>
    </xf>
    <xf numFmtId="0" fontId="22" fillId="0" borderId="0" xfId="20" applyProtection="1"/>
    <xf numFmtId="0" fontId="22" fillId="0" borderId="0" xfId="20" applyBorder="1" applyAlignment="1" applyProtection="1">
      <alignment vertical="center"/>
    </xf>
    <xf numFmtId="0" fontId="22" fillId="0" borderId="0" xfId="20" applyBorder="1" applyAlignment="1" applyProtection="1">
      <alignment horizontal="left" vertical="center"/>
    </xf>
    <xf numFmtId="0" fontId="26" fillId="0" borderId="0" xfId="0" applyFont="1" applyAlignment="1">
      <alignment horizontal="left" vertical="center"/>
    </xf>
    <xf numFmtId="0" fontId="22" fillId="0" borderId="0" xfId="20" quotePrefix="1" applyBorder="1" applyAlignment="1" applyProtection="1">
      <alignment horizontal="left" vertical="center"/>
    </xf>
    <xf numFmtId="0" fontId="22" fillId="0" borderId="0" xfId="20"/>
    <xf numFmtId="0" fontId="22" fillId="11" borderId="0" xfId="20" applyFill="1" applyBorder="1" applyAlignment="1" applyProtection="1">
      <alignment horizontal="left" vertical="center"/>
    </xf>
    <xf numFmtId="0" fontId="22" fillId="0" borderId="0" xfId="20" applyAlignment="1" applyProtection="1">
      <alignment horizontal="left"/>
    </xf>
    <xf numFmtId="0" fontId="0" fillId="0" borderId="140" xfId="0" applyBorder="1" applyAlignment="1">
      <alignment horizontal="left" vertical="center"/>
    </xf>
    <xf numFmtId="176" fontId="31" fillId="0" borderId="140" xfId="0" applyNumberFormat="1" applyFont="1" applyBorder="1" applyAlignment="1">
      <alignment horizontal="left"/>
    </xf>
    <xf numFmtId="176" fontId="20" fillId="0" borderId="140" xfId="0" applyNumberFormat="1" applyFont="1" applyBorder="1" applyAlignment="1">
      <alignment horizontal="left"/>
    </xf>
    <xf numFmtId="169" fontId="0" fillId="12" borderId="106" xfId="13" applyNumberFormat="1" applyFont="1" applyFill="1" applyBorder="1" applyAlignment="1" applyProtection="1">
      <alignment vertical="center"/>
      <protection locked="0"/>
    </xf>
    <xf numFmtId="177" fontId="20" fillId="12" borderId="106" xfId="12" applyNumberFormat="1" applyFont="1" applyFill="1" applyBorder="1" applyAlignment="1" applyProtection="1">
      <alignment vertical="center"/>
      <protection locked="0"/>
    </xf>
    <xf numFmtId="169" fontId="20" fillId="12" borderId="106" xfId="13" applyNumberFormat="1" applyFont="1" applyFill="1" applyBorder="1" applyAlignment="1" applyProtection="1">
      <alignment vertical="center"/>
      <protection locked="0"/>
    </xf>
    <xf numFmtId="0" fontId="12" fillId="20" borderId="140" xfId="0" applyFont="1" applyFill="1" applyBorder="1" applyAlignment="1">
      <alignment horizontal="left" vertical="center"/>
    </xf>
    <xf numFmtId="176" fontId="20" fillId="0" borderId="103" xfId="0" applyNumberFormat="1" applyFont="1" applyBorder="1" applyAlignment="1">
      <alignment horizontal="left"/>
    </xf>
    <xf numFmtId="169" fontId="12" fillId="20" borderId="106" xfId="13" applyNumberFormat="1" applyFont="1" applyFill="1" applyBorder="1" applyAlignment="1">
      <alignment horizontal="center" vertical="center"/>
    </xf>
    <xf numFmtId="169" fontId="12" fillId="22" borderId="106" xfId="13" applyNumberFormat="1" applyFont="1" applyFill="1" applyBorder="1" applyAlignment="1">
      <alignment vertical="center"/>
    </xf>
    <xf numFmtId="0" fontId="12" fillId="23" borderId="140" xfId="0" applyFont="1" applyFill="1" applyBorder="1" applyAlignment="1">
      <alignment horizontal="left" vertical="center"/>
    </xf>
    <xf numFmtId="0" fontId="14" fillId="32" borderId="33" xfId="0" applyFont="1" applyFill="1" applyBorder="1" applyAlignment="1">
      <alignment vertical="center"/>
    </xf>
    <xf numFmtId="169" fontId="12" fillId="28" borderId="143" xfId="13" applyNumberFormat="1" applyFont="1" applyFill="1" applyBorder="1" applyAlignment="1">
      <alignment vertical="center"/>
    </xf>
    <xf numFmtId="169" fontId="12" fillId="20" borderId="142" xfId="13" applyNumberFormat="1" applyFont="1" applyFill="1" applyBorder="1" applyAlignment="1">
      <alignment horizontal="center" vertical="center"/>
    </xf>
    <xf numFmtId="169" fontId="12" fillId="23" borderId="142" xfId="13" applyNumberFormat="1" applyFont="1" applyFill="1" applyBorder="1" applyAlignment="1">
      <alignment horizontal="center" vertical="center"/>
    </xf>
    <xf numFmtId="169" fontId="12" fillId="20" borderId="143" xfId="13" applyNumberFormat="1" applyFont="1" applyFill="1" applyBorder="1" applyAlignment="1">
      <alignment vertical="center"/>
    </xf>
    <xf numFmtId="169" fontId="12" fillId="28" borderId="138" xfId="13" applyNumberFormat="1" applyFont="1" applyFill="1" applyBorder="1" applyAlignment="1">
      <alignment vertical="center"/>
    </xf>
    <xf numFmtId="169" fontId="12" fillId="23" borderId="143" xfId="13" applyNumberFormat="1" applyFont="1" applyFill="1" applyBorder="1" applyAlignment="1">
      <alignment horizontal="center" vertical="center"/>
    </xf>
    <xf numFmtId="169" fontId="20" fillId="29" borderId="106" xfId="13" applyNumberFormat="1" applyFont="1" applyFill="1" applyBorder="1" applyAlignment="1">
      <alignment vertical="center"/>
    </xf>
    <xf numFmtId="169" fontId="12" fillId="23" borderId="106" xfId="13" applyNumberFormat="1" applyFont="1" applyFill="1" applyBorder="1" applyAlignment="1">
      <alignment horizontal="center" vertical="center"/>
    </xf>
    <xf numFmtId="169" fontId="12" fillId="24" borderId="106" xfId="13" applyNumberFormat="1" applyFont="1" applyFill="1" applyBorder="1" applyAlignment="1">
      <alignment vertical="center"/>
    </xf>
    <xf numFmtId="169" fontId="12" fillId="20" borderId="106" xfId="13" applyNumberFormat="1" applyFont="1" applyFill="1" applyBorder="1" applyAlignment="1">
      <alignment vertical="center"/>
    </xf>
    <xf numFmtId="168" fontId="14" fillId="32" borderId="106" xfId="13" applyNumberFormat="1" applyFont="1" applyFill="1" applyBorder="1" applyAlignment="1">
      <alignment vertical="center"/>
    </xf>
    <xf numFmtId="168" fontId="14" fillId="33" borderId="106" xfId="13" applyNumberFormat="1" applyFont="1" applyFill="1" applyBorder="1" applyAlignment="1">
      <alignment vertical="center"/>
    </xf>
    <xf numFmtId="0" fontId="14" fillId="17" borderId="106" xfId="0" applyFont="1" applyFill="1" applyBorder="1" applyAlignment="1">
      <alignment horizontal="center" vertical="center" wrapText="1"/>
    </xf>
    <xf numFmtId="175" fontId="14" fillId="17" borderId="106" xfId="12" applyNumberFormat="1" applyFont="1" applyFill="1" applyBorder="1" applyAlignment="1">
      <alignment horizontal="center" vertical="center" wrapText="1"/>
    </xf>
    <xf numFmtId="169" fontId="14" fillId="41" borderId="106" xfId="13" applyNumberFormat="1" applyFont="1" applyFill="1" applyBorder="1" applyAlignment="1">
      <alignment vertical="center"/>
    </xf>
    <xf numFmtId="169" fontId="14" fillId="42" borderId="106" xfId="13" applyNumberFormat="1" applyFont="1" applyFill="1" applyBorder="1" applyAlignment="1">
      <alignment vertical="center"/>
    </xf>
    <xf numFmtId="169" fontId="20" fillId="1" borderId="106" xfId="13" applyNumberFormat="1" applyFont="1" applyFill="1" applyBorder="1" applyAlignment="1">
      <alignment vertical="center"/>
    </xf>
    <xf numFmtId="177" fontId="20" fillId="1" borderId="106" xfId="12" applyNumberFormat="1" applyFont="1" applyFill="1" applyBorder="1" applyAlignment="1">
      <alignment vertical="center"/>
    </xf>
    <xf numFmtId="0" fontId="14" fillId="0" borderId="0" xfId="0" applyFont="1" applyAlignment="1" applyProtection="1">
      <alignment horizontal="center" vertical="center"/>
      <protection locked="0"/>
    </xf>
    <xf numFmtId="1" fontId="0" fillId="0" borderId="145" xfId="0" applyNumberFormat="1" applyBorder="1"/>
    <xf numFmtId="169" fontId="0" fillId="46" borderId="106" xfId="13" applyNumberFormat="1" applyFont="1" applyFill="1" applyBorder="1" applyAlignment="1">
      <alignment vertical="center"/>
    </xf>
    <xf numFmtId="0" fontId="14" fillId="0" borderId="0" xfId="0" applyFont="1" applyAlignment="1" applyProtection="1">
      <alignment vertical="center"/>
      <protection locked="0"/>
    </xf>
    <xf numFmtId="169" fontId="0" fillId="0" borderId="0" xfId="0" applyNumberFormat="1" applyAlignment="1">
      <alignment vertical="center"/>
    </xf>
    <xf numFmtId="169" fontId="14" fillId="0" borderId="0" xfId="0" applyNumberFormat="1" applyFont="1" applyAlignment="1">
      <alignment vertical="center"/>
    </xf>
    <xf numFmtId="180" fontId="0" fillId="12" borderId="146" xfId="13" applyNumberFormat="1" applyFont="1" applyFill="1" applyBorder="1" applyAlignment="1" applyProtection="1">
      <alignment horizontal="center" vertical="center"/>
      <protection locked="0"/>
    </xf>
    <xf numFmtId="169" fontId="0" fillId="0" borderId="152" xfId="0" applyNumberFormat="1" applyBorder="1" applyAlignment="1">
      <alignment vertical="center"/>
    </xf>
    <xf numFmtId="169" fontId="14" fillId="35" borderId="153" xfId="0" applyNumberFormat="1" applyFont="1" applyFill="1" applyBorder="1" applyAlignment="1">
      <alignment horizontal="center" vertical="center" wrapText="1"/>
    </xf>
    <xf numFmtId="169" fontId="14" fillId="35" borderId="154" xfId="0" applyNumberFormat="1" applyFont="1" applyFill="1" applyBorder="1" applyAlignment="1">
      <alignment horizontal="center" vertical="center" wrapText="1"/>
    </xf>
    <xf numFmtId="169" fontId="14" fillId="35" borderId="155" xfId="0" applyNumberFormat="1" applyFont="1" applyFill="1" applyBorder="1" applyAlignment="1">
      <alignment horizontal="center" vertical="center" wrapText="1"/>
    </xf>
    <xf numFmtId="169" fontId="0" fillId="10" borderId="106" xfId="13" applyNumberFormat="1" applyFont="1" applyFill="1" applyBorder="1" applyAlignment="1">
      <alignment horizontal="right" vertical="center"/>
    </xf>
    <xf numFmtId="174" fontId="0" fillId="0" borderId="106" xfId="12" applyNumberFormat="1" applyFont="1" applyBorder="1" applyAlignment="1">
      <alignment vertical="center"/>
    </xf>
    <xf numFmtId="169" fontId="15" fillId="0" borderId="104" xfId="13" applyNumberFormat="1" applyBorder="1" applyAlignment="1">
      <alignment vertical="center"/>
    </xf>
    <xf numFmtId="169" fontId="0" fillId="10" borderId="104" xfId="13" applyNumberFormat="1" applyFont="1" applyFill="1" applyBorder="1" applyAlignment="1">
      <alignment horizontal="right" vertical="center"/>
    </xf>
    <xf numFmtId="169" fontId="14" fillId="40" borderId="158" xfId="0" applyNumberFormat="1" applyFont="1" applyFill="1" applyBorder="1" applyAlignment="1">
      <alignment vertical="center"/>
    </xf>
    <xf numFmtId="169" fontId="14" fillId="40" borderId="109" xfId="13" applyNumberFormat="1" applyFont="1" applyFill="1" applyBorder="1" applyAlignment="1">
      <alignment vertical="center"/>
    </xf>
    <xf numFmtId="169" fontId="14" fillId="40" borderId="109" xfId="13" applyNumberFormat="1" applyFont="1" applyFill="1" applyBorder="1" applyAlignment="1">
      <alignment horizontal="right" vertical="center"/>
    </xf>
    <xf numFmtId="169" fontId="15" fillId="0" borderId="54" xfId="13" applyNumberFormat="1" applyBorder="1" applyAlignment="1">
      <alignment vertical="center"/>
    </xf>
    <xf numFmtId="169" fontId="15" fillId="0" borderId="105" xfId="13" applyNumberFormat="1" applyBorder="1" applyAlignment="1">
      <alignment vertical="center"/>
    </xf>
    <xf numFmtId="174" fontId="0" fillId="0" borderId="107" xfId="12" applyNumberFormat="1" applyFont="1" applyBorder="1" applyAlignment="1">
      <alignment vertical="center"/>
    </xf>
    <xf numFmtId="174" fontId="0" fillId="0" borderId="108" xfId="12" applyNumberFormat="1" applyFont="1" applyBorder="1" applyAlignment="1">
      <alignment vertical="center"/>
    </xf>
    <xf numFmtId="169" fontId="14" fillId="40" borderId="111" xfId="13" applyNumberFormat="1" applyFont="1" applyFill="1" applyBorder="1" applyAlignment="1">
      <alignment vertical="center"/>
    </xf>
    <xf numFmtId="169" fontId="14" fillId="40" borderId="110" xfId="13" applyNumberFormat="1" applyFont="1" applyFill="1" applyBorder="1" applyAlignment="1">
      <alignment vertical="center"/>
    </xf>
    <xf numFmtId="169" fontId="0" fillId="10" borderId="141" xfId="13" applyNumberFormat="1" applyFont="1" applyFill="1" applyBorder="1" applyAlignment="1">
      <alignment horizontal="right" vertical="center"/>
    </xf>
    <xf numFmtId="169" fontId="0" fillId="10" borderId="123" xfId="13" applyNumberFormat="1" applyFont="1" applyFill="1" applyBorder="1" applyAlignment="1">
      <alignment horizontal="right" vertical="center"/>
    </xf>
    <xf numFmtId="169" fontId="14" fillId="40" borderId="122" xfId="13" applyNumberFormat="1" applyFont="1" applyFill="1" applyBorder="1" applyAlignment="1">
      <alignment horizontal="right" vertical="center"/>
    </xf>
    <xf numFmtId="169" fontId="15" fillId="44" borderId="58" xfId="13" applyNumberFormat="1" applyFill="1" applyBorder="1" applyAlignment="1">
      <alignment vertical="center"/>
    </xf>
    <xf numFmtId="174" fontId="0" fillId="12" borderId="116" xfId="12" applyNumberFormat="1" applyFont="1" applyFill="1" applyBorder="1" applyAlignment="1" applyProtection="1">
      <alignment vertical="center"/>
      <protection locked="0"/>
    </xf>
    <xf numFmtId="169" fontId="14" fillId="40" borderId="102" xfId="13" applyNumberFormat="1" applyFont="1" applyFill="1" applyBorder="1" applyAlignment="1">
      <alignment vertical="center"/>
    </xf>
    <xf numFmtId="169" fontId="14" fillId="40" borderId="135" xfId="13" applyNumberFormat="1" applyFont="1" applyFill="1" applyBorder="1" applyAlignment="1">
      <alignment horizontal="right" vertical="center"/>
    </xf>
    <xf numFmtId="0" fontId="14" fillId="15" borderId="139" xfId="0" applyFont="1" applyFill="1" applyBorder="1" applyAlignment="1">
      <alignment horizontal="center" vertical="center" wrapText="1"/>
    </xf>
    <xf numFmtId="169" fontId="19" fillId="36" borderId="94" xfId="0" applyNumberFormat="1" applyFont="1" applyFill="1" applyBorder="1" applyAlignment="1">
      <alignment horizontal="center" vertical="center" wrapText="1"/>
    </xf>
    <xf numFmtId="169" fontId="19" fillId="36" borderId="168" xfId="0" applyNumberFormat="1" applyFont="1" applyFill="1" applyBorder="1" applyAlignment="1">
      <alignment horizontal="center" vertical="center" wrapText="1"/>
    </xf>
    <xf numFmtId="0" fontId="19" fillId="36" borderId="93" xfId="0" applyFont="1" applyFill="1" applyBorder="1" applyAlignment="1">
      <alignment horizontal="center" vertical="center" wrapText="1"/>
    </xf>
    <xf numFmtId="0" fontId="19" fillId="25" borderId="169" xfId="0" applyFont="1" applyFill="1" applyBorder="1" applyAlignment="1">
      <alignment horizontal="center" vertical="center" wrapText="1"/>
    </xf>
    <xf numFmtId="0" fontId="19" fillId="25" borderId="166" xfId="0" applyFont="1" applyFill="1" applyBorder="1" applyAlignment="1">
      <alignment horizontal="center" vertical="center" wrapText="1"/>
    </xf>
    <xf numFmtId="0" fontId="19" fillId="25" borderId="94" xfId="0" applyFont="1" applyFill="1" applyBorder="1" applyAlignment="1">
      <alignment horizontal="center" vertical="center" wrapText="1"/>
    </xf>
    <xf numFmtId="0" fontId="14" fillId="15" borderId="97" xfId="0" applyFont="1" applyFill="1" applyBorder="1" applyAlignment="1">
      <alignment horizontal="center" vertical="center" wrapText="1"/>
    </xf>
    <xf numFmtId="0" fontId="14" fillId="0" borderId="170" xfId="0" applyFont="1" applyBorder="1" applyAlignment="1">
      <alignment horizontal="left" vertical="center"/>
    </xf>
    <xf numFmtId="169" fontId="0" fillId="29" borderId="148" xfId="13" applyNumberFormat="1" applyFont="1" applyFill="1" applyBorder="1" applyAlignment="1">
      <alignment vertical="center"/>
    </xf>
    <xf numFmtId="169" fontId="0" fillId="29" borderId="152" xfId="13" applyNumberFormat="1" applyFont="1" applyFill="1" applyBorder="1" applyAlignment="1">
      <alignment vertical="center"/>
    </xf>
    <xf numFmtId="169" fontId="14" fillId="29" borderId="171" xfId="13" applyNumberFormat="1" applyFont="1" applyFill="1" applyBorder="1" applyAlignment="1">
      <alignment vertical="center"/>
    </xf>
    <xf numFmtId="169" fontId="0" fillId="19" borderId="172" xfId="13" applyNumberFormat="1" applyFont="1" applyFill="1" applyBorder="1" applyAlignment="1">
      <alignment vertical="center"/>
    </xf>
    <xf numFmtId="169" fontId="0" fillId="19" borderId="173" xfId="13" applyNumberFormat="1" applyFont="1" applyFill="1" applyBorder="1" applyAlignment="1">
      <alignment vertical="center"/>
    </xf>
    <xf numFmtId="169" fontId="14" fillId="19" borderId="148" xfId="13" applyNumberFormat="1" applyFont="1" applyFill="1" applyBorder="1" applyAlignment="1">
      <alignment vertical="center"/>
    </xf>
    <xf numFmtId="169" fontId="14" fillId="0" borderId="174" xfId="13" applyNumberFormat="1" applyFont="1" applyBorder="1" applyAlignment="1">
      <alignment vertical="center"/>
    </xf>
    <xf numFmtId="0" fontId="14" fillId="15" borderId="175" xfId="0" applyFont="1" applyFill="1" applyBorder="1" applyAlignment="1">
      <alignment horizontal="center" vertical="center"/>
    </xf>
    <xf numFmtId="169" fontId="23" fillId="15" borderId="176" xfId="13" applyNumberFormat="1" applyFont="1" applyFill="1" applyBorder="1" applyAlignment="1">
      <alignment vertical="center"/>
    </xf>
    <xf numFmtId="169" fontId="23" fillId="15" borderId="177" xfId="13" applyNumberFormat="1" applyFont="1" applyFill="1" applyBorder="1" applyAlignment="1">
      <alignment vertical="center"/>
    </xf>
    <xf numFmtId="169" fontId="23" fillId="15" borderId="178" xfId="13" applyNumberFormat="1" applyFont="1" applyFill="1" applyBorder="1" applyAlignment="1">
      <alignment vertical="center"/>
    </xf>
    <xf numFmtId="168" fontId="0" fillId="0" borderId="113" xfId="13" applyNumberFormat="1" applyFont="1" applyBorder="1" applyAlignment="1">
      <alignment vertical="center"/>
    </xf>
    <xf numFmtId="168" fontId="0" fillId="0" borderId="114" xfId="13" applyNumberFormat="1" applyFont="1" applyBorder="1" applyAlignment="1">
      <alignment vertical="center"/>
    </xf>
    <xf numFmtId="169" fontId="0" fillId="29" borderId="106" xfId="13" applyNumberFormat="1" applyFont="1" applyFill="1" applyBorder="1" applyAlignment="1">
      <alignment vertical="center"/>
    </xf>
    <xf numFmtId="169" fontId="0" fillId="29" borderId="111" xfId="13" applyNumberFormat="1" applyFont="1" applyFill="1" applyBorder="1" applyAlignment="1">
      <alignment vertical="center"/>
    </xf>
    <xf numFmtId="169" fontId="0" fillId="29" borderId="109" xfId="13" applyNumberFormat="1" applyFont="1" applyFill="1" applyBorder="1" applyAlignment="1">
      <alignment vertical="center"/>
    </xf>
    <xf numFmtId="169" fontId="0" fillId="29" borderId="110" xfId="13" applyNumberFormat="1" applyFont="1" applyFill="1" applyBorder="1" applyAlignment="1">
      <alignment vertical="center"/>
    </xf>
    <xf numFmtId="169" fontId="14" fillId="35" borderId="185" xfId="0" applyNumberFormat="1" applyFont="1" applyFill="1" applyBorder="1" applyAlignment="1">
      <alignment horizontal="center" vertical="center" wrapText="1"/>
    </xf>
    <xf numFmtId="169" fontId="14" fillId="35" borderId="186" xfId="0" applyNumberFormat="1" applyFont="1" applyFill="1" applyBorder="1" applyAlignment="1">
      <alignment horizontal="center" vertical="center" wrapText="1"/>
    </xf>
    <xf numFmtId="169" fontId="14" fillId="35" borderId="187" xfId="0" applyNumberFormat="1" applyFont="1" applyFill="1" applyBorder="1" applyAlignment="1">
      <alignment horizontal="center" vertical="center" wrapText="1"/>
    </xf>
    <xf numFmtId="169" fontId="14" fillId="15" borderId="188" xfId="0" applyNumberFormat="1" applyFont="1" applyFill="1" applyBorder="1" applyAlignment="1">
      <alignment horizontal="center" vertical="center" wrapText="1"/>
    </xf>
    <xf numFmtId="169" fontId="14" fillId="15" borderId="186" xfId="0" applyNumberFormat="1" applyFont="1" applyFill="1" applyBorder="1" applyAlignment="1">
      <alignment horizontal="center" vertical="center" wrapText="1"/>
    </xf>
    <xf numFmtId="169" fontId="14" fillId="15" borderId="189" xfId="0" applyNumberFormat="1" applyFont="1" applyFill="1" applyBorder="1" applyAlignment="1">
      <alignment horizontal="center" vertical="center" wrapText="1"/>
    </xf>
    <xf numFmtId="0" fontId="14" fillId="15" borderId="185" xfId="0" applyFont="1" applyFill="1" applyBorder="1" applyAlignment="1">
      <alignment horizontal="center" vertical="center"/>
    </xf>
    <xf numFmtId="0" fontId="14" fillId="15" borderId="190" xfId="0" applyFont="1" applyFill="1" applyBorder="1" applyAlignment="1">
      <alignment horizontal="center" vertical="center"/>
    </xf>
    <xf numFmtId="169" fontId="15" fillId="0" borderId="58" xfId="13" applyNumberFormat="1" applyBorder="1" applyAlignment="1">
      <alignment vertical="center"/>
    </xf>
    <xf numFmtId="169" fontId="14" fillId="40" borderId="112" xfId="13" applyNumberFormat="1" applyFont="1" applyFill="1" applyBorder="1" applyAlignment="1">
      <alignment vertical="center"/>
    </xf>
    <xf numFmtId="169" fontId="14" fillId="40" borderId="179" xfId="13" applyNumberFormat="1" applyFont="1" applyFill="1" applyBorder="1" applyAlignment="1">
      <alignment vertical="center"/>
    </xf>
    <xf numFmtId="169" fontId="14" fillId="40" borderId="127" xfId="13" applyNumberFormat="1" applyFont="1" applyFill="1" applyBorder="1" applyAlignment="1">
      <alignment vertical="center"/>
    </xf>
    <xf numFmtId="174" fontId="0" fillId="0" borderId="116" xfId="12" applyNumberFormat="1" applyFont="1" applyBorder="1" applyAlignment="1">
      <alignment vertical="center"/>
    </xf>
    <xf numFmtId="169" fontId="0" fillId="0" borderId="86" xfId="13" applyNumberFormat="1" applyFont="1" applyBorder="1" applyAlignment="1">
      <alignment vertical="center"/>
    </xf>
    <xf numFmtId="169" fontId="0" fillId="0" borderId="157" xfId="13" applyNumberFormat="1" applyFont="1" applyBorder="1" applyAlignment="1">
      <alignment vertical="center"/>
    </xf>
    <xf numFmtId="169" fontId="0" fillId="0" borderId="136" xfId="13" applyNumberFormat="1" applyFont="1" applyBorder="1" applyAlignment="1">
      <alignment vertical="center"/>
    </xf>
    <xf numFmtId="169" fontId="23" fillId="32" borderId="181" xfId="13" applyNumberFormat="1" applyFont="1" applyFill="1" applyBorder="1" applyAlignment="1">
      <alignment vertical="center" wrapText="1"/>
    </xf>
    <xf numFmtId="169" fontId="23" fillId="32" borderId="146" xfId="13" applyNumberFormat="1" applyFont="1" applyFill="1" applyBorder="1" applyAlignment="1">
      <alignment vertical="center" wrapText="1"/>
    </xf>
    <xf numFmtId="169" fontId="23" fillId="32" borderId="147" xfId="13" applyNumberFormat="1" applyFont="1" applyFill="1" applyBorder="1" applyAlignment="1">
      <alignment vertical="center" wrapText="1"/>
    </xf>
    <xf numFmtId="169" fontId="23" fillId="32" borderId="149" xfId="13" applyNumberFormat="1" applyFont="1" applyFill="1" applyBorder="1" applyAlignment="1">
      <alignment vertical="center" wrapText="1"/>
    </xf>
    <xf numFmtId="169" fontId="23" fillId="32" borderId="192" xfId="13" applyNumberFormat="1" applyFont="1" applyFill="1" applyBorder="1" applyAlignment="1">
      <alignment vertical="center" wrapText="1"/>
    </xf>
    <xf numFmtId="169" fontId="23" fillId="32" borderId="193" xfId="13" applyNumberFormat="1" applyFont="1" applyFill="1" applyBorder="1" applyAlignment="1">
      <alignment vertical="center" wrapText="1"/>
    </xf>
    <xf numFmtId="169" fontId="23" fillId="32" borderId="194" xfId="13" applyNumberFormat="1" applyFont="1" applyFill="1" applyBorder="1" applyAlignment="1">
      <alignment vertical="center" wrapText="1"/>
    </xf>
    <xf numFmtId="169" fontId="23" fillId="32" borderId="182" xfId="13" applyNumberFormat="1" applyFont="1" applyFill="1" applyBorder="1" applyAlignment="1">
      <alignment vertical="center" wrapText="1"/>
    </xf>
    <xf numFmtId="169" fontId="23" fillId="32" borderId="55" xfId="13" applyNumberFormat="1" applyFont="1" applyFill="1" applyBorder="1" applyAlignment="1">
      <alignment vertical="center" wrapText="1"/>
    </xf>
    <xf numFmtId="169" fontId="23" fillId="32" borderId="56" xfId="13" applyNumberFormat="1" applyFont="1" applyFill="1" applyBorder="1" applyAlignment="1">
      <alignment vertical="center" wrapText="1"/>
    </xf>
    <xf numFmtId="169" fontId="23" fillId="32" borderId="59" xfId="13" applyNumberFormat="1" applyFont="1" applyFill="1" applyBorder="1" applyAlignment="1">
      <alignment vertical="center" wrapText="1"/>
    </xf>
    <xf numFmtId="169" fontId="23" fillId="32" borderId="67" xfId="13" applyNumberFormat="1" applyFont="1" applyFill="1" applyBorder="1" applyAlignment="1">
      <alignment vertical="center" wrapText="1"/>
    </xf>
    <xf numFmtId="178" fontId="24" fillId="26" borderId="67" xfId="0" applyNumberFormat="1" applyFont="1" applyFill="1" applyBorder="1" applyAlignment="1">
      <alignment horizontal="right" vertical="center"/>
    </xf>
    <xf numFmtId="9" fontId="0" fillId="12" borderId="112" xfId="0" applyNumberFormat="1" applyFill="1" applyBorder="1" applyAlignment="1" applyProtection="1">
      <alignment horizontal="center" vertical="center"/>
      <protection locked="0"/>
    </xf>
    <xf numFmtId="178" fontId="0" fillId="0" borderId="180" xfId="0" applyNumberFormat="1" applyBorder="1" applyAlignment="1">
      <alignment horizontal="right" vertical="center"/>
    </xf>
    <xf numFmtId="178" fontId="0" fillId="0" borderId="127" xfId="0" applyNumberFormat="1" applyBorder="1" applyAlignment="1">
      <alignment horizontal="right" vertical="center"/>
    </xf>
    <xf numFmtId="170" fontId="0" fillId="12" borderId="195" xfId="16" applyFont="1" applyFill="1" applyBorder="1" applyAlignment="1" applyProtection="1">
      <alignment horizontal="center" vertical="center"/>
      <protection locked="0"/>
    </xf>
    <xf numFmtId="170" fontId="16" fillId="19" borderId="55" xfId="16" applyFont="1" applyFill="1" applyBorder="1" applyAlignment="1">
      <alignment horizontal="center" vertical="center"/>
    </xf>
    <xf numFmtId="178" fontId="24" fillId="26" borderId="57" xfId="0" applyNumberFormat="1" applyFont="1" applyFill="1" applyBorder="1" applyAlignment="1">
      <alignment horizontal="right" vertical="center"/>
    </xf>
    <xf numFmtId="179" fontId="0" fillId="46" borderId="200" xfId="13" applyNumberFormat="1" applyFont="1" applyFill="1" applyBorder="1" applyAlignment="1">
      <alignment vertical="center"/>
    </xf>
    <xf numFmtId="169" fontId="14" fillId="35" borderId="54" xfId="0" applyNumberFormat="1" applyFont="1" applyFill="1" applyBorder="1" applyAlignment="1">
      <alignment horizontal="center" vertical="center" wrapText="1"/>
    </xf>
    <xf numFmtId="169" fontId="14" fillId="35" borderId="104" xfId="0" applyNumberFormat="1" applyFont="1" applyFill="1" applyBorder="1" applyAlignment="1">
      <alignment horizontal="center" vertical="center" wrapText="1"/>
    </xf>
    <xf numFmtId="171" fontId="0" fillId="12" borderId="201" xfId="13" applyNumberFormat="1" applyFont="1" applyFill="1" applyBorder="1" applyAlignment="1" applyProtection="1">
      <alignment horizontal="center" vertical="center"/>
      <protection locked="0"/>
    </xf>
    <xf numFmtId="171" fontId="0" fillId="46" borderId="200" xfId="13" applyNumberFormat="1" applyFont="1" applyFill="1" applyBorder="1" applyAlignment="1">
      <alignment horizontal="center" vertical="center"/>
    </xf>
    <xf numFmtId="171" fontId="0" fillId="12" borderId="111" xfId="13" applyNumberFormat="1" applyFont="1" applyFill="1" applyBorder="1" applyAlignment="1" applyProtection="1">
      <alignment horizontal="center" vertical="center"/>
      <protection locked="0"/>
    </xf>
    <xf numFmtId="171" fontId="0" fillId="46" borderId="109" xfId="13" applyNumberFormat="1" applyFont="1" applyFill="1" applyBorder="1" applyAlignment="1">
      <alignment horizontal="center" vertical="center"/>
    </xf>
    <xf numFmtId="169" fontId="14" fillId="15" borderId="161" xfId="0" applyNumberFormat="1" applyFont="1" applyFill="1" applyBorder="1" applyAlignment="1">
      <alignment horizontal="center" vertical="center" wrapText="1"/>
    </xf>
    <xf numFmtId="169" fontId="14" fillId="15" borderId="199" xfId="0" applyNumberFormat="1" applyFont="1" applyFill="1" applyBorder="1" applyAlignment="1">
      <alignment horizontal="center" vertical="center" wrapText="1"/>
    </xf>
    <xf numFmtId="179" fontId="0" fillId="29" borderId="200" xfId="13" applyNumberFormat="1" applyFont="1" applyFill="1" applyBorder="1" applyAlignment="1">
      <alignment vertical="center"/>
    </xf>
    <xf numFmtId="179" fontId="0" fillId="29" borderId="202" xfId="13" applyNumberFormat="1" applyFont="1" applyFill="1" applyBorder="1" applyAlignment="1">
      <alignment vertical="center"/>
    </xf>
    <xf numFmtId="179" fontId="0" fillId="29" borderId="109" xfId="13" applyNumberFormat="1" applyFont="1" applyFill="1" applyBorder="1" applyAlignment="1">
      <alignment vertical="center"/>
    </xf>
    <xf numFmtId="179" fontId="0" fillId="29" borderId="110" xfId="13" applyNumberFormat="1" applyFont="1" applyFill="1" applyBorder="1" applyAlignment="1">
      <alignment vertical="center"/>
    </xf>
    <xf numFmtId="178" fontId="23" fillId="28" borderId="184" xfId="0" applyNumberFormat="1" applyFont="1" applyFill="1" applyBorder="1" applyAlignment="1">
      <alignment horizontal="center" vertical="center"/>
    </xf>
    <xf numFmtId="169" fontId="14" fillId="15" borderId="198" xfId="0" applyNumberFormat="1" applyFont="1" applyFill="1" applyBorder="1" applyAlignment="1">
      <alignment horizontal="center" vertical="center" wrapText="1"/>
    </xf>
    <xf numFmtId="169" fontId="14" fillId="15" borderId="168" xfId="0" applyNumberFormat="1" applyFont="1" applyFill="1" applyBorder="1" applyAlignment="1">
      <alignment horizontal="center" vertical="center" wrapText="1"/>
    </xf>
    <xf numFmtId="169" fontId="14" fillId="15" borderId="213" xfId="0" applyNumberFormat="1" applyFont="1" applyFill="1" applyBorder="1" applyAlignment="1">
      <alignment horizontal="center" vertical="center" wrapText="1"/>
    </xf>
    <xf numFmtId="169" fontId="14" fillId="15" borderId="214" xfId="0" applyNumberFormat="1" applyFont="1" applyFill="1" applyBorder="1" applyAlignment="1">
      <alignment horizontal="center" vertical="center" wrapText="1"/>
    </xf>
    <xf numFmtId="169" fontId="0" fillId="37" borderId="201" xfId="13" applyNumberFormat="1" applyFont="1" applyFill="1" applyBorder="1" applyAlignment="1">
      <alignment vertical="center"/>
    </xf>
    <xf numFmtId="169" fontId="0" fillId="37" borderId="200" xfId="13" applyNumberFormat="1" applyFont="1" applyFill="1" applyBorder="1" applyAlignment="1">
      <alignment vertical="center"/>
    </xf>
    <xf numFmtId="169" fontId="0" fillId="0" borderId="200" xfId="13" applyNumberFormat="1" applyFont="1" applyBorder="1" applyAlignment="1">
      <alignment vertical="center"/>
    </xf>
    <xf numFmtId="171" fontId="0" fillId="0" borderId="201" xfId="0" applyNumberFormat="1" applyBorder="1" applyAlignment="1">
      <alignment horizontal="center" vertical="center"/>
    </xf>
    <xf numFmtId="171" fontId="0" fillId="0" borderId="200" xfId="0" applyNumberFormat="1" applyBorder="1" applyAlignment="1">
      <alignment horizontal="center" vertical="center"/>
    </xf>
    <xf numFmtId="171" fontId="0" fillId="0" borderId="202" xfId="0" applyNumberFormat="1" applyBorder="1" applyAlignment="1">
      <alignment horizontal="center" vertical="center"/>
    </xf>
    <xf numFmtId="169" fontId="0" fillId="37" borderId="111" xfId="13" applyNumberFormat="1" applyFont="1" applyFill="1" applyBorder="1" applyAlignment="1">
      <alignment vertical="center"/>
    </xf>
    <xf numFmtId="169" fontId="0" fillId="37" borderId="109" xfId="13" applyNumberFormat="1" applyFont="1" applyFill="1" applyBorder="1" applyAlignment="1">
      <alignment vertical="center"/>
    </xf>
    <xf numFmtId="169" fontId="0" fillId="37" borderId="102" xfId="13" applyNumberFormat="1" applyFont="1" applyFill="1" applyBorder="1" applyAlignment="1">
      <alignment vertical="center"/>
    </xf>
    <xf numFmtId="169" fontId="0" fillId="0" borderId="111" xfId="13" applyNumberFormat="1" applyFont="1" applyBorder="1" applyAlignment="1">
      <alignment vertical="center"/>
    </xf>
    <xf numFmtId="169" fontId="0" fillId="0" borderId="109" xfId="13" applyNumberFormat="1" applyFont="1" applyBorder="1" applyAlignment="1">
      <alignment vertical="center"/>
    </xf>
    <xf numFmtId="169" fontId="0" fillId="0" borderId="102" xfId="13" applyNumberFormat="1" applyFont="1" applyBorder="1" applyAlignment="1">
      <alignment vertical="center"/>
    </xf>
    <xf numFmtId="171" fontId="0" fillId="0" borderId="111" xfId="0" applyNumberFormat="1" applyBorder="1" applyAlignment="1">
      <alignment horizontal="center" vertical="center"/>
    </xf>
    <xf numFmtId="171" fontId="0" fillId="0" borderId="109" xfId="0" applyNumberFormat="1" applyBorder="1" applyAlignment="1">
      <alignment horizontal="center" vertical="center"/>
    </xf>
    <xf numFmtId="171" fontId="0" fillId="0" borderId="110" xfId="0" applyNumberFormat="1" applyBorder="1" applyAlignment="1">
      <alignment horizontal="center" vertical="center"/>
    </xf>
    <xf numFmtId="169" fontId="0" fillId="28" borderId="106" xfId="13" applyNumberFormat="1" applyFont="1" applyFill="1" applyBorder="1" applyAlignment="1">
      <alignment vertical="center"/>
    </xf>
    <xf numFmtId="0" fontId="14" fillId="0" borderId="0" xfId="0" applyFont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34" fillId="0" borderId="0" xfId="0" applyFont="1" applyAlignment="1" applyProtection="1">
      <alignment horizontal="left" vertical="center" wrapText="1"/>
      <protection locked="0"/>
    </xf>
    <xf numFmtId="0" fontId="30" fillId="0" borderId="0" xfId="0" applyFont="1" applyAlignment="1" applyProtection="1">
      <alignment horizontal="left"/>
      <protection locked="0"/>
    </xf>
    <xf numFmtId="0" fontId="14" fillId="0" borderId="0" xfId="0" applyFont="1" applyAlignment="1" applyProtection="1">
      <alignment horizontal="center"/>
      <protection locked="0"/>
    </xf>
    <xf numFmtId="0" fontId="35" fillId="0" borderId="0" xfId="0" applyFont="1" applyAlignment="1" applyProtection="1">
      <alignment horizontal="center"/>
      <protection locked="0"/>
    </xf>
    <xf numFmtId="0" fontId="36" fillId="0" borderId="0" xfId="0" applyFont="1" applyProtection="1">
      <protection locked="0"/>
    </xf>
    <xf numFmtId="0" fontId="35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Protection="1">
      <protection locked="0"/>
    </xf>
    <xf numFmtId="0" fontId="39" fillId="0" borderId="0" xfId="0" applyFont="1" applyAlignment="1" applyProtection="1">
      <alignment vertical="center" wrapText="1"/>
      <protection locked="0"/>
    </xf>
    <xf numFmtId="0" fontId="36" fillId="0" borderId="0" xfId="0" applyFont="1" applyAlignment="1" applyProtection="1">
      <alignment horizontal="left" vertical="center" wrapText="1"/>
      <protection locked="0"/>
    </xf>
    <xf numFmtId="0" fontId="37" fillId="0" borderId="0" xfId="0" applyFont="1" applyAlignment="1" applyProtection="1">
      <alignment horizontal="left"/>
      <protection locked="0"/>
    </xf>
    <xf numFmtId="0" fontId="0" fillId="12" borderId="216" xfId="0" applyFill="1" applyBorder="1" applyAlignment="1" applyProtection="1">
      <alignment horizontal="left" vertical="center"/>
      <protection locked="0"/>
    </xf>
    <xf numFmtId="0" fontId="0" fillId="12" borderId="217" xfId="0" applyFill="1" applyBorder="1" applyAlignment="1" applyProtection="1">
      <alignment horizontal="left" vertical="center"/>
      <protection locked="0"/>
    </xf>
    <xf numFmtId="0" fontId="0" fillId="12" borderId="217" xfId="0" applyFill="1" applyBorder="1" applyProtection="1">
      <protection locked="0"/>
    </xf>
    <xf numFmtId="0" fontId="0" fillId="12" borderId="218" xfId="0" applyFill="1" applyBorder="1" applyProtection="1">
      <protection locked="0"/>
    </xf>
    <xf numFmtId="0" fontId="0" fillId="12" borderId="123" xfId="0" applyFill="1" applyBorder="1" applyAlignment="1" applyProtection="1">
      <alignment horizontal="left" vertical="center"/>
      <protection locked="0"/>
    </xf>
    <xf numFmtId="0" fontId="0" fillId="12" borderId="200" xfId="0" applyFill="1" applyBorder="1" applyAlignment="1" applyProtection="1">
      <alignment horizontal="left" vertical="center"/>
      <protection locked="0"/>
    </xf>
    <xf numFmtId="0" fontId="0" fillId="12" borderId="200" xfId="0" applyFill="1" applyBorder="1" applyProtection="1">
      <protection locked="0"/>
    </xf>
    <xf numFmtId="0" fontId="0" fillId="12" borderId="207" xfId="0" applyFill="1" applyBorder="1" applyProtection="1">
      <protection locked="0"/>
    </xf>
    <xf numFmtId="0" fontId="0" fillId="12" borderId="122" xfId="0" applyFill="1" applyBorder="1" applyAlignment="1" applyProtection="1">
      <alignment horizontal="left" vertical="center"/>
      <protection locked="0"/>
    </xf>
    <xf numFmtId="0" fontId="0" fillId="12" borderId="109" xfId="0" applyFill="1" applyBorder="1" applyProtection="1">
      <protection locked="0"/>
    </xf>
    <xf numFmtId="0" fontId="0" fillId="12" borderId="102" xfId="0" applyFill="1" applyBorder="1" applyProtection="1">
      <protection locked="0"/>
    </xf>
    <xf numFmtId="0" fontId="0" fillId="12" borderId="195" xfId="0" applyFill="1" applyBorder="1" applyAlignment="1" applyProtection="1">
      <alignment horizontal="left" vertical="center"/>
      <protection locked="0"/>
    </xf>
    <xf numFmtId="0" fontId="0" fillId="12" borderId="179" xfId="0" applyFill="1" applyBorder="1" applyAlignment="1" applyProtection="1">
      <alignment horizontal="left" vertical="center"/>
      <protection locked="0"/>
    </xf>
    <xf numFmtId="0" fontId="0" fillId="12" borderId="179" xfId="0" applyFill="1" applyBorder="1" applyProtection="1">
      <protection locked="0"/>
    </xf>
    <xf numFmtId="0" fontId="0" fillId="12" borderId="219" xfId="0" applyFill="1" applyBorder="1" applyAlignment="1" applyProtection="1">
      <alignment horizontal="left" vertical="center"/>
      <protection locked="0"/>
    </xf>
    <xf numFmtId="0" fontId="0" fillId="12" borderId="193" xfId="0" applyFill="1" applyBorder="1" applyProtection="1">
      <protection locked="0"/>
    </xf>
    <xf numFmtId="0" fontId="0" fillId="12" borderId="194" xfId="0" applyFill="1" applyBorder="1" applyProtection="1">
      <protection locked="0"/>
    </xf>
    <xf numFmtId="0" fontId="0" fillId="12" borderId="206" xfId="0" applyFill="1" applyBorder="1" applyProtection="1">
      <protection locked="0"/>
    </xf>
    <xf numFmtId="0" fontId="36" fillId="0" borderId="0" xfId="0" applyFont="1" applyAlignment="1" applyProtection="1">
      <alignment horizontal="left"/>
      <protection locked="0"/>
    </xf>
    <xf numFmtId="0" fontId="35" fillId="0" borderId="0" xfId="0" applyFont="1" applyAlignment="1" applyProtection="1">
      <alignment horizontal="left"/>
      <protection locked="0"/>
    </xf>
    <xf numFmtId="0" fontId="35" fillId="0" borderId="0" xfId="0" applyFont="1" applyProtection="1">
      <protection locked="0"/>
    </xf>
    <xf numFmtId="0" fontId="43" fillId="0" borderId="0" xfId="0" applyFont="1" applyProtection="1">
      <protection locked="0"/>
    </xf>
    <xf numFmtId="179" fontId="0" fillId="12" borderId="217" xfId="13" applyNumberFormat="1" applyFont="1" applyFill="1" applyBorder="1" applyAlignment="1" applyProtection="1">
      <alignment vertical="center"/>
      <protection locked="0"/>
    </xf>
    <xf numFmtId="179" fontId="0" fillId="12" borderId="200" xfId="13" applyNumberFormat="1" applyFont="1" applyFill="1" applyBorder="1" applyAlignment="1" applyProtection="1">
      <alignment vertical="center"/>
      <protection locked="0"/>
    </xf>
    <xf numFmtId="169" fontId="15" fillId="1" borderId="220" xfId="13" applyNumberFormat="1" applyFill="1" applyBorder="1" applyAlignment="1">
      <alignment vertical="center"/>
    </xf>
    <xf numFmtId="169" fontId="15" fillId="1" borderId="200" xfId="13" applyNumberFormat="1" applyFill="1" applyBorder="1" applyAlignment="1">
      <alignment vertical="center"/>
    </xf>
    <xf numFmtId="169" fontId="15" fillId="1" borderId="207" xfId="13" applyNumberFormat="1" applyFill="1" applyBorder="1" applyAlignment="1">
      <alignment vertical="center"/>
    </xf>
    <xf numFmtId="169" fontId="15" fillId="1" borderId="201" xfId="13" applyNumberFormat="1" applyFill="1" applyBorder="1" applyAlignment="1">
      <alignment vertical="center"/>
    </xf>
    <xf numFmtId="180" fontId="0" fillId="12" borderId="217" xfId="13" applyNumberFormat="1" applyFont="1" applyFill="1" applyBorder="1" applyAlignment="1" applyProtection="1">
      <alignment horizontal="center" vertical="center"/>
      <protection locked="0"/>
    </xf>
    <xf numFmtId="169" fontId="15" fillId="0" borderId="217" xfId="13" applyNumberFormat="1" applyBorder="1" applyAlignment="1">
      <alignment vertical="center"/>
    </xf>
    <xf numFmtId="169" fontId="15" fillId="0" borderId="218" xfId="13" applyNumberFormat="1" applyBorder="1" applyAlignment="1">
      <alignment vertical="center"/>
    </xf>
    <xf numFmtId="169" fontId="15" fillId="0" borderId="220" xfId="13" applyNumberFormat="1" applyBorder="1" applyAlignment="1">
      <alignment vertical="center"/>
    </xf>
    <xf numFmtId="169" fontId="0" fillId="10" borderId="216" xfId="13" applyNumberFormat="1" applyFont="1" applyFill="1" applyBorder="1" applyAlignment="1">
      <alignment horizontal="right" vertical="center"/>
    </xf>
    <xf numFmtId="169" fontId="0" fillId="10" borderId="217" xfId="13" applyNumberFormat="1" applyFont="1" applyFill="1" applyBorder="1" applyAlignment="1">
      <alignment horizontal="right" vertical="center"/>
    </xf>
    <xf numFmtId="174" fontId="0" fillId="0" borderId="200" xfId="12" applyNumberFormat="1" applyFont="1" applyBorder="1" applyAlignment="1">
      <alignment vertical="center"/>
    </xf>
    <xf numFmtId="174" fontId="0" fillId="0" borderId="207" xfId="12" applyNumberFormat="1" applyFont="1" applyBorder="1" applyAlignment="1">
      <alignment vertical="center"/>
    </xf>
    <xf numFmtId="174" fontId="0" fillId="0" borderId="201" xfId="12" applyNumberFormat="1" applyFont="1" applyBorder="1" applyAlignment="1">
      <alignment vertical="center"/>
    </xf>
    <xf numFmtId="174" fontId="0" fillId="0" borderId="202" xfId="12" applyNumberFormat="1" applyFont="1" applyBorder="1" applyAlignment="1">
      <alignment vertical="center"/>
    </xf>
    <xf numFmtId="169" fontId="0" fillId="10" borderId="200" xfId="13" applyNumberFormat="1" applyFont="1" applyFill="1" applyBorder="1" applyAlignment="1">
      <alignment horizontal="right" vertical="center"/>
    </xf>
    <xf numFmtId="169" fontId="15" fillId="1" borderId="86" xfId="13" applyNumberFormat="1" applyFill="1" applyBorder="1" applyAlignment="1">
      <alignment vertical="center"/>
    </xf>
    <xf numFmtId="169" fontId="15" fillId="1" borderId="157" xfId="13" applyNumberFormat="1" applyFill="1" applyBorder="1" applyAlignment="1">
      <alignment vertical="center"/>
    </xf>
    <xf numFmtId="169" fontId="15" fillId="1" borderId="136" xfId="13" applyNumberFormat="1" applyFill="1" applyBorder="1" applyAlignment="1">
      <alignment vertical="center"/>
    </xf>
    <xf numFmtId="174" fontId="0" fillId="1" borderId="200" xfId="12" applyNumberFormat="1" applyFont="1" applyFill="1" applyBorder="1" applyAlignment="1">
      <alignment vertical="center"/>
    </xf>
    <xf numFmtId="174" fontId="0" fillId="1" borderId="207" xfId="12" applyNumberFormat="1" applyFont="1" applyFill="1" applyBorder="1" applyAlignment="1">
      <alignment vertical="center"/>
    </xf>
    <xf numFmtId="174" fontId="0" fillId="1" borderId="201" xfId="12" applyNumberFormat="1" applyFont="1" applyFill="1" applyBorder="1" applyAlignment="1">
      <alignment vertical="center"/>
    </xf>
    <xf numFmtId="174" fontId="0" fillId="1" borderId="202" xfId="12" applyNumberFormat="1" applyFont="1" applyFill="1" applyBorder="1" applyAlignment="1">
      <alignment vertical="center"/>
    </xf>
    <xf numFmtId="168" fontId="0" fillId="0" borderId="208" xfId="13" applyNumberFormat="1" applyFont="1" applyBorder="1" applyAlignment="1">
      <alignment vertical="center"/>
    </xf>
    <xf numFmtId="169" fontId="0" fillId="52" borderId="201" xfId="13" applyNumberFormat="1" applyFont="1" applyFill="1" applyBorder="1" applyAlignment="1">
      <alignment vertical="center"/>
    </xf>
    <xf numFmtId="169" fontId="0" fillId="52" borderId="200" xfId="13" applyNumberFormat="1" applyFont="1" applyFill="1" applyBorder="1" applyAlignment="1">
      <alignment vertical="center"/>
    </xf>
    <xf numFmtId="169" fontId="0" fillId="51" borderId="200" xfId="13" applyNumberFormat="1" applyFont="1" applyFill="1" applyBorder="1" applyAlignment="1">
      <alignment vertical="center"/>
    </xf>
    <xf numFmtId="169" fontId="0" fillId="1" borderId="201" xfId="13" applyNumberFormat="1" applyFont="1" applyFill="1" applyBorder="1" applyAlignment="1">
      <alignment vertical="center"/>
    </xf>
    <xf numFmtId="169" fontId="0" fillId="1" borderId="200" xfId="13" applyNumberFormat="1" applyFont="1" applyFill="1" applyBorder="1" applyAlignment="1">
      <alignment vertical="center"/>
    </xf>
    <xf numFmtId="0" fontId="0" fillId="12" borderId="220" xfId="0" applyFill="1" applyBorder="1" applyAlignment="1" applyProtection="1">
      <alignment horizontal="left" vertical="center"/>
      <protection locked="0"/>
    </xf>
    <xf numFmtId="0" fontId="0" fillId="12" borderId="201" xfId="0" applyFill="1" applyBorder="1" applyAlignment="1" applyProtection="1">
      <alignment horizontal="left" vertical="center"/>
      <protection locked="0"/>
    </xf>
    <xf numFmtId="169" fontId="0" fillId="12" borderId="200" xfId="13" applyNumberFormat="1" applyFont="1" applyFill="1" applyBorder="1" applyAlignment="1" applyProtection="1">
      <alignment vertical="center"/>
      <protection locked="0"/>
    </xf>
    <xf numFmtId="169" fontId="20" fillId="12" borderId="200" xfId="13" applyNumberFormat="1" applyFont="1" applyFill="1" applyBorder="1" applyAlignment="1" applyProtection="1">
      <alignment vertical="center"/>
      <protection locked="0"/>
    </xf>
    <xf numFmtId="177" fontId="20" fillId="12" borderId="200" xfId="12" applyNumberFormat="1" applyFont="1" applyFill="1" applyBorder="1" applyAlignment="1" applyProtection="1">
      <alignment vertical="center"/>
      <protection locked="0"/>
    </xf>
    <xf numFmtId="169" fontId="23" fillId="32" borderId="57" xfId="13" applyNumberFormat="1" applyFont="1" applyFill="1" applyBorder="1" applyAlignment="1">
      <alignment vertical="center" wrapText="1"/>
    </xf>
    <xf numFmtId="164" fontId="0" fillId="12" borderId="200" xfId="31" applyFont="1" applyFill="1" applyBorder="1" applyAlignment="1" applyProtection="1">
      <alignment horizontal="center" vertical="center"/>
      <protection locked="0"/>
    </xf>
    <xf numFmtId="164" fontId="0" fillId="46" borderId="200" xfId="31" applyFont="1" applyFill="1" applyBorder="1" applyAlignment="1" applyProtection="1">
      <alignment horizontal="center" vertical="center"/>
    </xf>
    <xf numFmtId="164" fontId="0" fillId="49" borderId="200" xfId="31" applyFont="1" applyFill="1" applyBorder="1" applyAlignment="1" applyProtection="1">
      <alignment horizontal="center" vertical="center"/>
      <protection locked="0"/>
    </xf>
    <xf numFmtId="0" fontId="0" fillId="0" borderId="224" xfId="0" applyBorder="1" applyAlignment="1">
      <alignment horizontal="left" vertical="center"/>
    </xf>
    <xf numFmtId="0" fontId="0" fillId="0" borderId="223" xfId="0" applyBorder="1" applyAlignment="1">
      <alignment horizontal="left" vertical="center"/>
    </xf>
    <xf numFmtId="0" fontId="0" fillId="0" borderId="225" xfId="0" applyBorder="1" applyAlignment="1">
      <alignment horizontal="left" vertical="center"/>
    </xf>
    <xf numFmtId="0" fontId="0" fillId="0" borderId="152" xfId="0" applyBorder="1" applyAlignment="1">
      <alignment horizontal="left" vertical="center"/>
    </xf>
    <xf numFmtId="0" fontId="0" fillId="0" borderId="222" xfId="0" applyBorder="1" applyAlignment="1">
      <alignment horizontal="left" vertical="center"/>
    </xf>
    <xf numFmtId="179" fontId="0" fillId="29" borderId="220" xfId="13" applyNumberFormat="1" applyFont="1" applyFill="1" applyBorder="1" applyAlignment="1" applyProtection="1">
      <alignment vertical="center"/>
      <protection locked="0"/>
    </xf>
    <xf numFmtId="179" fontId="0" fillId="29" borderId="217" xfId="13" applyNumberFormat="1" applyFont="1" applyFill="1" applyBorder="1" applyAlignment="1">
      <alignment vertical="center"/>
    </xf>
    <xf numFmtId="0" fontId="0" fillId="12" borderId="226" xfId="0" applyFill="1" applyBorder="1" applyAlignment="1" applyProtection="1">
      <alignment horizontal="left" vertical="center"/>
      <protection locked="0"/>
    </xf>
    <xf numFmtId="169" fontId="0" fillId="51" borderId="201" xfId="13" applyNumberFormat="1" applyFont="1" applyFill="1" applyBorder="1" applyAlignment="1">
      <alignment vertical="center"/>
    </xf>
    <xf numFmtId="169" fontId="0" fillId="0" borderId="217" xfId="13" applyNumberFormat="1" applyFont="1" applyBorder="1" applyAlignment="1">
      <alignment vertical="center"/>
    </xf>
    <xf numFmtId="169" fontId="0" fillId="0" borderId="218" xfId="13" applyNumberFormat="1" applyFont="1" applyBorder="1" applyAlignment="1">
      <alignment vertical="center"/>
    </xf>
    <xf numFmtId="171" fontId="0" fillId="0" borderId="220" xfId="0" applyNumberFormat="1" applyBorder="1" applyAlignment="1">
      <alignment horizontal="center" vertical="center"/>
    </xf>
    <xf numFmtId="171" fontId="0" fillId="0" borderId="217" xfId="0" applyNumberFormat="1" applyBorder="1" applyAlignment="1">
      <alignment horizontal="center" vertical="center"/>
    </xf>
    <xf numFmtId="169" fontId="0" fillId="0" borderId="227" xfId="13" applyNumberFormat="1" applyFont="1" applyBorder="1" applyAlignment="1">
      <alignment vertical="center"/>
    </xf>
    <xf numFmtId="169" fontId="0" fillId="1" borderId="227" xfId="13" applyNumberFormat="1" applyFont="1" applyFill="1" applyBorder="1" applyAlignment="1">
      <alignment vertical="center"/>
    </xf>
    <xf numFmtId="169" fontId="0" fillId="1" borderId="202" xfId="13" applyNumberFormat="1" applyFont="1" applyFill="1" applyBorder="1" applyAlignment="1">
      <alignment vertical="center"/>
    </xf>
    <xf numFmtId="181" fontId="15" fillId="37" borderId="218" xfId="16" applyNumberFormat="1" applyFill="1" applyBorder="1" applyAlignment="1">
      <alignment horizontal="center" vertical="center"/>
    </xf>
    <xf numFmtId="181" fontId="15" fillId="37" borderId="227" xfId="16" applyNumberFormat="1" applyFill="1" applyBorder="1" applyAlignment="1">
      <alignment horizontal="center" vertical="center"/>
    </xf>
    <xf numFmtId="181" fontId="15" fillId="37" borderId="102" xfId="16" applyNumberFormat="1" applyFill="1" applyBorder="1" applyAlignment="1">
      <alignment horizontal="center" vertical="center"/>
    </xf>
    <xf numFmtId="169" fontId="0" fillId="12" borderId="202" xfId="13" applyNumberFormat="1" applyFont="1" applyFill="1" applyBorder="1" applyAlignment="1" applyProtection="1">
      <alignment vertical="center"/>
      <protection locked="0"/>
    </xf>
    <xf numFmtId="0" fontId="41" fillId="0" borderId="0" xfId="0" applyFont="1" applyProtection="1">
      <protection locked="0"/>
    </xf>
    <xf numFmtId="0" fontId="42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9" fontId="38" fillId="0" borderId="0" xfId="0" applyNumberFormat="1" applyFont="1" applyAlignment="1" applyProtection="1">
      <alignment horizontal="center"/>
      <protection locked="0"/>
    </xf>
    <xf numFmtId="0" fontId="37" fillId="0" borderId="0" xfId="0" applyFont="1" applyProtection="1">
      <protection locked="0"/>
    </xf>
    <xf numFmtId="170" fontId="30" fillId="0" borderId="0" xfId="16" applyFont="1" applyProtection="1">
      <protection locked="0"/>
    </xf>
    <xf numFmtId="1" fontId="37" fillId="0" borderId="0" xfId="0" applyNumberFormat="1" applyFont="1" applyProtection="1">
      <protection locked="0"/>
    </xf>
    <xf numFmtId="169" fontId="35" fillId="0" borderId="0" xfId="0" applyNumberFormat="1" applyFont="1" applyAlignment="1" applyProtection="1">
      <alignment horizontal="center" vertical="center" wrapText="1"/>
      <protection locked="0"/>
    </xf>
    <xf numFmtId="169" fontId="14" fillId="0" borderId="0" xfId="0" applyNumberFormat="1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left"/>
      <protection locked="0"/>
    </xf>
    <xf numFmtId="180" fontId="0" fillId="0" borderId="0" xfId="13" applyNumberFormat="1" applyFont="1" applyAlignment="1" applyProtection="1">
      <alignment horizontal="center" vertical="center"/>
      <protection locked="0"/>
    </xf>
    <xf numFmtId="180" fontId="14" fillId="0" borderId="0" xfId="0" applyNumberFormat="1" applyFont="1" applyProtection="1">
      <protection locked="0"/>
    </xf>
    <xf numFmtId="180" fontId="24" fillId="0" borderId="0" xfId="0" applyNumberFormat="1" applyFont="1" applyProtection="1"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vertical="center" wrapText="1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46" fillId="0" borderId="0" xfId="0" applyFont="1" applyProtection="1">
      <protection locked="0"/>
    </xf>
    <xf numFmtId="0" fontId="47" fillId="0" borderId="0" xfId="0" applyFont="1" applyAlignment="1" applyProtection="1">
      <alignment horizontal="center" vertical="center"/>
      <protection locked="0"/>
    </xf>
    <xf numFmtId="0" fontId="47" fillId="0" borderId="0" xfId="0" applyFont="1" applyAlignment="1" applyProtection="1">
      <alignment vertical="center"/>
      <protection locked="0"/>
    </xf>
    <xf numFmtId="0" fontId="47" fillId="0" borderId="0" xfId="0" applyFont="1" applyAlignment="1" applyProtection="1">
      <alignment horizontal="right" vertical="center"/>
      <protection locked="0"/>
    </xf>
    <xf numFmtId="0" fontId="46" fillId="0" borderId="0" xfId="0" applyFont="1" applyAlignment="1" applyProtection="1">
      <alignment horizontal="left" vertical="center"/>
      <protection locked="0"/>
    </xf>
    <xf numFmtId="0" fontId="46" fillId="0" borderId="0" xfId="0" applyFont="1" applyAlignment="1" applyProtection="1">
      <alignment horizontal="left" vertical="center" wrapText="1"/>
      <protection locked="0"/>
    </xf>
    <xf numFmtId="169" fontId="0" fillId="0" borderId="93" xfId="0" applyNumberFormat="1" applyBorder="1" applyAlignment="1">
      <alignment vertical="center"/>
    </xf>
    <xf numFmtId="0" fontId="14" fillId="12" borderId="200" xfId="0" applyFont="1" applyFill="1" applyBorder="1" applyAlignment="1">
      <alignment horizontal="center" vertical="center"/>
    </xf>
    <xf numFmtId="0" fontId="14" fillId="21" borderId="228" xfId="0" applyFont="1" applyFill="1" applyBorder="1" applyAlignment="1">
      <alignment horizontal="center" vertical="center"/>
    </xf>
    <xf numFmtId="0" fontId="14" fillId="20" borderId="142" xfId="0" applyFont="1" applyFill="1" applyBorder="1" applyAlignment="1">
      <alignment horizontal="center" vertical="center" wrapText="1"/>
    </xf>
    <xf numFmtId="1" fontId="0" fillId="0" borderId="142" xfId="0" applyNumberFormat="1" applyBorder="1" applyAlignment="1">
      <alignment horizontal="center" vertical="center" wrapText="1"/>
    </xf>
    <xf numFmtId="1" fontId="0" fillId="0" borderId="229" xfId="0" applyNumberFormat="1" applyBorder="1" applyAlignment="1">
      <alignment horizontal="center"/>
    </xf>
    <xf numFmtId="1" fontId="0" fillId="44" borderId="142" xfId="0" applyNumberFormat="1" applyFill="1" applyBorder="1" applyAlignment="1">
      <alignment horizontal="center" vertical="center" wrapText="1"/>
    </xf>
    <xf numFmtId="1" fontId="0" fillId="0" borderId="63" xfId="0" applyNumberFormat="1" applyBorder="1" applyAlignment="1">
      <alignment horizontal="center" vertical="center" wrapText="1"/>
    </xf>
    <xf numFmtId="0" fontId="14" fillId="31" borderId="230" xfId="0" applyFont="1" applyFill="1" applyBorder="1" applyAlignment="1">
      <alignment horizontal="center" vertical="center" wrapText="1"/>
    </xf>
    <xf numFmtId="169" fontId="14" fillId="55" borderId="106" xfId="13" applyNumberFormat="1" applyFont="1" applyFill="1" applyBorder="1" applyAlignment="1">
      <alignment horizontal="center" vertical="center"/>
    </xf>
    <xf numFmtId="169" fontId="14" fillId="15" borderId="183" xfId="0" applyNumberFormat="1" applyFont="1" applyFill="1" applyBorder="1" applyAlignment="1">
      <alignment horizontal="center" vertical="center" wrapText="1"/>
    </xf>
    <xf numFmtId="0" fontId="12" fillId="17" borderId="106" xfId="0" applyFont="1" applyFill="1" applyBorder="1" applyAlignment="1">
      <alignment horizontal="center" vertical="center"/>
    </xf>
    <xf numFmtId="0" fontId="2" fillId="44" borderId="0" xfId="32" applyFill="1"/>
    <xf numFmtId="0" fontId="48" fillId="54" borderId="231" xfId="32" applyFont="1" applyFill="1" applyBorder="1" applyAlignment="1">
      <alignment horizontal="center" vertical="center"/>
    </xf>
    <xf numFmtId="0" fontId="48" fillId="56" borderId="231" xfId="32" applyFont="1" applyFill="1" applyBorder="1" applyAlignment="1">
      <alignment horizontal="center" vertical="center" wrapText="1"/>
    </xf>
    <xf numFmtId="0" fontId="48" fillId="44" borderId="0" xfId="32" applyFont="1" applyFill="1" applyAlignment="1">
      <alignment horizontal="right"/>
    </xf>
    <xf numFmtId="1" fontId="49" fillId="44" borderId="231" xfId="33" applyNumberFormat="1" applyFont="1" applyFill="1" applyBorder="1" applyAlignment="1">
      <alignment horizontal="center" vertical="center"/>
    </xf>
    <xf numFmtId="1" fontId="49" fillId="44" borderId="0" xfId="33" applyNumberFormat="1" applyFont="1" applyFill="1" applyBorder="1" applyAlignment="1">
      <alignment horizontal="center" vertical="center"/>
    </xf>
    <xf numFmtId="0" fontId="48" fillId="47" borderId="0" xfId="32" applyFont="1" applyFill="1" applyAlignment="1">
      <alignment horizontal="left" vertical="center" indent="1"/>
    </xf>
    <xf numFmtId="0" fontId="2" fillId="44" borderId="0" xfId="32" applyFill="1" applyAlignment="1">
      <alignment horizontal="left" indent="2"/>
    </xf>
    <xf numFmtId="186" fontId="2" fillId="44" borderId="0" xfId="32" applyNumberFormat="1" applyFill="1"/>
    <xf numFmtId="186" fontId="48" fillId="44" borderId="0" xfId="32" applyNumberFormat="1" applyFont="1" applyFill="1"/>
    <xf numFmtId="0" fontId="48" fillId="54" borderId="200" xfId="32" applyFont="1" applyFill="1" applyBorder="1" applyAlignment="1">
      <alignment horizontal="left" indent="2"/>
    </xf>
    <xf numFmtId="186" fontId="48" fillId="54" borderId="200" xfId="32" applyNumberFormat="1" applyFont="1" applyFill="1" applyBorder="1"/>
    <xf numFmtId="180" fontId="14" fillId="50" borderId="200" xfId="0" applyNumberFormat="1" applyFont="1" applyFill="1" applyBorder="1" applyAlignment="1">
      <alignment vertical="center"/>
    </xf>
    <xf numFmtId="0" fontId="0" fillId="0" borderId="113" xfId="0" applyBorder="1" applyAlignment="1">
      <alignment horizontal="left" vertical="center"/>
    </xf>
    <xf numFmtId="0" fontId="0" fillId="0" borderId="208" xfId="0" applyBorder="1" applyAlignment="1">
      <alignment horizontal="left" vertical="center"/>
    </xf>
    <xf numFmtId="0" fontId="0" fillId="0" borderId="236" xfId="0" applyBorder="1" applyAlignment="1">
      <alignment horizontal="left" vertical="center"/>
    </xf>
    <xf numFmtId="0" fontId="0" fillId="0" borderId="114" xfId="0" applyBorder="1" applyAlignment="1">
      <alignment horizontal="left" vertical="center"/>
    </xf>
    <xf numFmtId="180" fontId="0" fillId="29" borderId="237" xfId="0" applyNumberFormat="1" applyFill="1" applyBorder="1"/>
    <xf numFmtId="169" fontId="14" fillId="35" borderId="240" xfId="0" applyNumberFormat="1" applyFont="1" applyFill="1" applyBorder="1" applyAlignment="1">
      <alignment horizontal="center" vertical="center" wrapText="1"/>
    </xf>
    <xf numFmtId="180" fontId="0" fillId="12" borderId="220" xfId="13" applyNumberFormat="1" applyFont="1" applyFill="1" applyBorder="1" applyAlignment="1" applyProtection="1">
      <alignment horizontal="center" vertical="center"/>
      <protection locked="0"/>
    </xf>
    <xf numFmtId="180" fontId="14" fillId="50" borderId="201" xfId="0" applyNumberFormat="1" applyFont="1" applyFill="1" applyBorder="1" applyAlignment="1">
      <alignment vertical="center"/>
    </xf>
    <xf numFmtId="180" fontId="0" fillId="12" borderId="111" xfId="13" applyNumberFormat="1" applyFont="1" applyFill="1" applyBorder="1" applyAlignment="1" applyProtection="1">
      <alignment horizontal="center" vertical="center"/>
      <protection locked="0"/>
    </xf>
    <xf numFmtId="169" fontId="14" fillId="35" borderId="62" xfId="0" applyNumberFormat="1" applyFont="1" applyFill="1" applyBorder="1" applyAlignment="1">
      <alignment horizontal="center" vertical="center" wrapText="1"/>
    </xf>
    <xf numFmtId="180" fontId="0" fillId="12" borderId="218" xfId="13" applyNumberFormat="1" applyFont="1" applyFill="1" applyBorder="1" applyAlignment="1" applyProtection="1">
      <alignment horizontal="center" vertical="center"/>
      <protection locked="0"/>
    </xf>
    <xf numFmtId="180" fontId="0" fillId="12" borderId="149" xfId="13" applyNumberFormat="1" applyFont="1" applyFill="1" applyBorder="1" applyAlignment="1" applyProtection="1">
      <alignment horizontal="center" vertical="center"/>
      <protection locked="0"/>
    </xf>
    <xf numFmtId="180" fontId="14" fillId="50" borderId="227" xfId="0" applyNumberFormat="1" applyFont="1" applyFill="1" applyBorder="1" applyAlignment="1">
      <alignment vertical="center"/>
    </xf>
    <xf numFmtId="180" fontId="0" fillId="12" borderId="102" xfId="13" applyNumberFormat="1" applyFont="1" applyFill="1" applyBorder="1" applyAlignment="1" applyProtection="1">
      <alignment horizontal="center" vertical="center"/>
      <protection locked="0"/>
    </xf>
    <xf numFmtId="0" fontId="14" fillId="16" borderId="182" xfId="0" applyFont="1" applyFill="1" applyBorder="1" applyAlignment="1">
      <alignment horizontal="center" vertical="center" wrapText="1"/>
    </xf>
    <xf numFmtId="180" fontId="14" fillId="29" borderId="133" xfId="0" applyNumberFormat="1" applyFont="1" applyFill="1" applyBorder="1" applyAlignment="1">
      <alignment vertical="center"/>
    </xf>
    <xf numFmtId="180" fontId="14" fillId="50" borderId="134" xfId="0" applyNumberFormat="1" applyFont="1" applyFill="1" applyBorder="1" applyAlignment="1">
      <alignment vertical="center"/>
    </xf>
    <xf numFmtId="180" fontId="14" fillId="29" borderId="135" xfId="0" applyNumberFormat="1" applyFont="1" applyFill="1" applyBorder="1" applyAlignment="1">
      <alignment vertical="center"/>
    </xf>
    <xf numFmtId="169" fontId="15" fillId="50" borderId="200" xfId="13" applyNumberFormat="1" applyFill="1" applyBorder="1" applyAlignment="1">
      <alignment vertical="center"/>
    </xf>
    <xf numFmtId="179" fontId="0" fillId="46" borderId="234" xfId="13" applyNumberFormat="1" applyFont="1" applyFill="1" applyBorder="1" applyAlignment="1">
      <alignment vertical="center"/>
    </xf>
    <xf numFmtId="179" fontId="0" fillId="29" borderId="234" xfId="13" applyNumberFormat="1" applyFont="1" applyFill="1" applyBorder="1" applyAlignment="1">
      <alignment vertical="center"/>
    </xf>
    <xf numFmtId="179" fontId="0" fillId="29" borderId="235" xfId="13" applyNumberFormat="1" applyFont="1" applyFill="1" applyBorder="1" applyAlignment="1">
      <alignment vertical="center"/>
    </xf>
    <xf numFmtId="171" fontId="0" fillId="46" borderId="217" xfId="13" applyNumberFormat="1" applyFont="1" applyFill="1" applyBorder="1" applyAlignment="1">
      <alignment horizontal="center" vertical="center"/>
    </xf>
    <xf numFmtId="179" fontId="0" fillId="29" borderId="105" xfId="13" applyNumberFormat="1" applyFont="1" applyFill="1" applyBorder="1" applyAlignment="1">
      <alignment vertical="center"/>
    </xf>
    <xf numFmtId="169" fontId="15" fillId="50" borderId="201" xfId="13" applyNumberFormat="1" applyFill="1" applyBorder="1" applyAlignment="1">
      <alignment vertical="center"/>
    </xf>
    <xf numFmtId="169" fontId="15" fillId="50" borderId="202" xfId="13" applyNumberFormat="1" applyFill="1" applyBorder="1" applyAlignment="1">
      <alignment vertical="center"/>
    </xf>
    <xf numFmtId="169" fontId="14" fillId="35" borderId="218" xfId="0" applyNumberFormat="1" applyFont="1" applyFill="1" applyBorder="1" applyAlignment="1">
      <alignment horizontal="center" vertical="center" wrapText="1"/>
    </xf>
    <xf numFmtId="179" fontId="0" fillId="46" borderId="227" xfId="13" applyNumberFormat="1" applyFont="1" applyFill="1" applyBorder="1" applyAlignment="1">
      <alignment vertical="center"/>
    </xf>
    <xf numFmtId="179" fontId="0" fillId="46" borderId="242" xfId="13" applyNumberFormat="1" applyFont="1" applyFill="1" applyBorder="1" applyAlignment="1">
      <alignment vertical="center"/>
    </xf>
    <xf numFmtId="179" fontId="0" fillId="29" borderId="218" xfId="13" applyNumberFormat="1" applyFont="1" applyFill="1" applyBorder="1" applyAlignment="1">
      <alignment vertical="center"/>
    </xf>
    <xf numFmtId="169" fontId="15" fillId="50" borderId="227" xfId="13" applyNumberFormat="1" applyFill="1" applyBorder="1" applyAlignment="1">
      <alignment vertical="center"/>
    </xf>
    <xf numFmtId="179" fontId="0" fillId="29" borderId="243" xfId="13" applyNumberFormat="1" applyFont="1" applyFill="1" applyBorder="1" applyAlignment="1">
      <alignment vertical="center"/>
    </xf>
    <xf numFmtId="179" fontId="0" fillId="29" borderId="233" xfId="13" applyNumberFormat="1" applyFont="1" applyFill="1" applyBorder="1" applyAlignment="1">
      <alignment vertical="center"/>
    </xf>
    <xf numFmtId="179" fontId="0" fillId="29" borderId="216" xfId="13" applyNumberFormat="1" applyFont="1" applyFill="1" applyBorder="1" applyAlignment="1">
      <alignment vertical="center"/>
    </xf>
    <xf numFmtId="169" fontId="15" fillId="50" borderId="243" xfId="13" applyNumberFormat="1" applyFill="1" applyBorder="1" applyAlignment="1">
      <alignment vertical="center"/>
    </xf>
    <xf numFmtId="179" fontId="0" fillId="29" borderId="122" xfId="13" applyNumberFormat="1" applyFont="1" applyFill="1" applyBorder="1" applyAlignment="1">
      <alignment vertical="center"/>
    </xf>
    <xf numFmtId="169" fontId="14" fillId="15" borderId="226" xfId="0" applyNumberFormat="1" applyFont="1" applyFill="1" applyBorder="1" applyAlignment="1">
      <alignment horizontal="center" vertical="center" wrapText="1"/>
    </xf>
    <xf numFmtId="171" fontId="0" fillId="12" borderId="220" xfId="13" applyNumberFormat="1" applyFont="1" applyFill="1" applyBorder="1" applyAlignment="1" applyProtection="1">
      <alignment horizontal="center" vertical="center"/>
      <protection locked="0"/>
    </xf>
    <xf numFmtId="171" fontId="0" fillId="46" borderId="202" xfId="13" applyNumberFormat="1" applyFont="1" applyFill="1" applyBorder="1" applyAlignment="1">
      <alignment horizontal="center" vertical="center"/>
    </xf>
    <xf numFmtId="171" fontId="0" fillId="46" borderId="110" xfId="13" applyNumberFormat="1" applyFont="1" applyFill="1" applyBorder="1" applyAlignment="1">
      <alignment horizontal="center" vertical="center"/>
    </xf>
    <xf numFmtId="179" fontId="15" fillId="46" borderId="111" xfId="13" applyNumberFormat="1" applyFill="1" applyBorder="1" applyAlignment="1">
      <alignment vertical="center"/>
    </xf>
    <xf numFmtId="179" fontId="15" fillId="46" borderId="109" xfId="13" applyNumberFormat="1" applyFill="1" applyBorder="1" applyAlignment="1">
      <alignment vertical="center"/>
    </xf>
    <xf numFmtId="179" fontId="15" fillId="46" borderId="102" xfId="13" applyNumberFormat="1" applyFill="1" applyBorder="1" applyAlignment="1">
      <alignment vertical="center"/>
    </xf>
    <xf numFmtId="169" fontId="14" fillId="40" borderId="189" xfId="0" applyNumberFormat="1" applyFont="1" applyFill="1" applyBorder="1" applyAlignment="1">
      <alignment vertical="center"/>
    </xf>
    <xf numFmtId="169" fontId="14" fillId="40" borderId="241" xfId="13" applyNumberFormat="1" applyFont="1" applyFill="1" applyBorder="1" applyAlignment="1">
      <alignment vertical="center"/>
    </xf>
    <xf numFmtId="169" fontId="14" fillId="40" borderId="234" xfId="13" applyNumberFormat="1" applyFont="1" applyFill="1" applyBorder="1" applyAlignment="1">
      <alignment vertical="center"/>
    </xf>
    <xf numFmtId="169" fontId="14" fillId="40" borderId="235" xfId="13" applyNumberFormat="1" applyFont="1" applyFill="1" applyBorder="1" applyAlignment="1">
      <alignment vertical="center"/>
    </xf>
    <xf numFmtId="169" fontId="14" fillId="40" borderId="233" xfId="13" applyNumberFormat="1" applyFont="1" applyFill="1" applyBorder="1" applyAlignment="1">
      <alignment horizontal="right" vertical="center"/>
    </xf>
    <xf numFmtId="169" fontId="14" fillId="40" borderId="234" xfId="13" applyNumberFormat="1" applyFont="1" applyFill="1" applyBorder="1" applyAlignment="1">
      <alignment horizontal="right" vertical="center"/>
    </xf>
    <xf numFmtId="169" fontId="14" fillId="40" borderId="242" xfId="13" applyNumberFormat="1" applyFont="1" applyFill="1" applyBorder="1" applyAlignment="1">
      <alignment vertical="center"/>
    </xf>
    <xf numFmtId="169" fontId="14" fillId="40" borderId="232" xfId="13" applyNumberFormat="1" applyFont="1" applyFill="1" applyBorder="1" applyAlignment="1">
      <alignment horizontal="right" vertical="center"/>
    </xf>
    <xf numFmtId="0" fontId="14" fillId="21" borderId="200" xfId="0" applyFont="1" applyFill="1" applyBorder="1" applyAlignment="1">
      <alignment horizontal="left" vertical="center"/>
    </xf>
    <xf numFmtId="0" fontId="12" fillId="23" borderId="200" xfId="0" applyFont="1" applyFill="1" applyBorder="1" applyAlignment="1">
      <alignment horizontal="left" vertical="center"/>
    </xf>
    <xf numFmtId="0" fontId="12" fillId="20" borderId="144" xfId="0" applyFont="1" applyFill="1" applyBorder="1" applyAlignment="1">
      <alignment horizontal="left" vertical="center"/>
    </xf>
    <xf numFmtId="182" fontId="14" fillId="19" borderId="157" xfId="13" applyNumberFormat="1" applyFont="1" applyFill="1" applyBorder="1" applyAlignment="1">
      <alignment horizontal="center"/>
    </xf>
    <xf numFmtId="176" fontId="20" fillId="0" borderId="152" xfId="0" applyNumberFormat="1" applyFont="1" applyBorder="1" applyAlignment="1">
      <alignment horizontal="left" wrapText="1"/>
    </xf>
    <xf numFmtId="176" fontId="20" fillId="0" borderId="152" xfId="0" applyNumberFormat="1" applyFont="1" applyBorder="1" applyAlignment="1">
      <alignment horizontal="left"/>
    </xf>
    <xf numFmtId="177" fontId="20" fillId="29" borderId="106" xfId="12" applyNumberFormat="1" applyFont="1" applyFill="1" applyBorder="1" applyAlignment="1">
      <alignment vertical="center"/>
    </xf>
    <xf numFmtId="0" fontId="12" fillId="23" borderId="152" xfId="0" applyFont="1" applyFill="1" applyBorder="1" applyAlignment="1">
      <alignment horizontal="left" vertical="center"/>
    </xf>
    <xf numFmtId="169" fontId="12" fillId="41" borderId="200" xfId="13" applyNumberFormat="1" applyFont="1" applyFill="1" applyBorder="1" applyAlignment="1">
      <alignment vertical="center"/>
    </xf>
    <xf numFmtId="0" fontId="12" fillId="20" borderId="152" xfId="0" applyFont="1" applyFill="1" applyBorder="1" applyAlignment="1">
      <alignment horizontal="left" vertical="center"/>
    </xf>
    <xf numFmtId="182" fontId="14" fillId="19" borderId="200" xfId="13" applyNumberFormat="1" applyFont="1" applyFill="1" applyBorder="1" applyAlignment="1">
      <alignment horizontal="center"/>
    </xf>
    <xf numFmtId="0" fontId="12" fillId="20" borderId="200" xfId="0" applyFont="1" applyFill="1" applyBorder="1" applyAlignment="1">
      <alignment horizontal="left" vertical="center"/>
    </xf>
    <xf numFmtId="182" fontId="15" fillId="28" borderId="200" xfId="13" applyNumberFormat="1" applyFill="1" applyBorder="1"/>
    <xf numFmtId="0" fontId="14" fillId="17" borderId="200" xfId="0" applyFont="1" applyFill="1" applyBorder="1" applyAlignment="1">
      <alignment horizontal="center" vertical="center" wrapText="1"/>
    </xf>
    <xf numFmtId="175" fontId="14" fillId="17" borderId="200" xfId="12" applyNumberFormat="1" applyFont="1" applyFill="1" applyBorder="1" applyAlignment="1">
      <alignment horizontal="center" vertical="center" wrapText="1"/>
    </xf>
    <xf numFmtId="0" fontId="12" fillId="17" borderId="200" xfId="0" applyFont="1" applyFill="1" applyBorder="1" applyAlignment="1">
      <alignment horizontal="center" vertical="center"/>
    </xf>
    <xf numFmtId="169" fontId="12" fillId="23" borderId="200" xfId="13" applyNumberFormat="1" applyFont="1" applyFill="1" applyBorder="1" applyAlignment="1">
      <alignment horizontal="center" vertical="center"/>
    </xf>
    <xf numFmtId="169" fontId="12" fillId="24" borderId="200" xfId="13" applyNumberFormat="1" applyFont="1" applyFill="1" applyBorder="1" applyAlignment="1">
      <alignment vertical="center"/>
    </xf>
    <xf numFmtId="169" fontId="14" fillId="41" borderId="200" xfId="13" applyNumberFormat="1" applyFont="1" applyFill="1" applyBorder="1" applyAlignment="1">
      <alignment vertical="center"/>
    </xf>
    <xf numFmtId="169" fontId="12" fillId="23" borderId="173" xfId="13" applyNumberFormat="1" applyFont="1" applyFill="1" applyBorder="1" applyAlignment="1">
      <alignment horizontal="center" vertical="center"/>
    </xf>
    <xf numFmtId="169" fontId="12" fillId="20" borderId="200" xfId="13" applyNumberFormat="1" applyFont="1" applyFill="1" applyBorder="1" applyAlignment="1">
      <alignment horizontal="center" vertical="center"/>
    </xf>
    <xf numFmtId="169" fontId="12" fillId="22" borderId="200" xfId="13" applyNumberFormat="1" applyFont="1" applyFill="1" applyBorder="1" applyAlignment="1">
      <alignment vertical="center"/>
    </xf>
    <xf numFmtId="169" fontId="14" fillId="42" borderId="200" xfId="13" applyNumberFormat="1" applyFont="1" applyFill="1" applyBorder="1" applyAlignment="1">
      <alignment vertical="center"/>
    </xf>
    <xf numFmtId="169" fontId="0" fillId="46" borderId="200" xfId="13" applyNumberFormat="1" applyFont="1" applyFill="1" applyBorder="1" applyAlignment="1">
      <alignment vertical="center"/>
    </xf>
    <xf numFmtId="169" fontId="20" fillId="1" borderId="200" xfId="13" applyNumberFormat="1" applyFont="1" applyFill="1" applyBorder="1" applyAlignment="1">
      <alignment vertical="center"/>
    </xf>
    <xf numFmtId="177" fontId="20" fillId="1" borderId="200" xfId="12" applyNumberFormat="1" applyFont="1" applyFill="1" applyBorder="1" applyAlignment="1">
      <alignment vertical="center"/>
    </xf>
    <xf numFmtId="169" fontId="20" fillId="29" borderId="200" xfId="13" applyNumberFormat="1" applyFont="1" applyFill="1" applyBorder="1" applyAlignment="1">
      <alignment vertical="center"/>
    </xf>
    <xf numFmtId="169" fontId="12" fillId="28" borderId="173" xfId="13" applyNumberFormat="1" applyFont="1" applyFill="1" applyBorder="1" applyAlignment="1">
      <alignment vertical="center"/>
    </xf>
    <xf numFmtId="176" fontId="31" fillId="0" borderId="152" xfId="0" applyNumberFormat="1" applyFont="1" applyBorder="1" applyAlignment="1">
      <alignment horizontal="left"/>
    </xf>
    <xf numFmtId="169" fontId="0" fillId="29" borderId="200" xfId="13" applyNumberFormat="1" applyFont="1" applyFill="1" applyBorder="1" applyAlignment="1">
      <alignment vertical="center"/>
    </xf>
    <xf numFmtId="177" fontId="20" fillId="29" borderId="200" xfId="12" applyNumberFormat="1" applyFont="1" applyFill="1" applyBorder="1" applyAlignment="1">
      <alignment vertical="center"/>
    </xf>
    <xf numFmtId="169" fontId="12" fillId="20" borderId="200" xfId="13" applyNumberFormat="1" applyFont="1" applyFill="1" applyBorder="1" applyAlignment="1">
      <alignment vertical="center"/>
    </xf>
    <xf numFmtId="169" fontId="12" fillId="20" borderId="173" xfId="13" applyNumberFormat="1" applyFont="1" applyFill="1" applyBorder="1" applyAlignment="1">
      <alignment vertical="center"/>
    </xf>
    <xf numFmtId="176" fontId="20" fillId="0" borderId="189" xfId="0" applyNumberFormat="1" applyFont="1" applyBorder="1" applyAlignment="1">
      <alignment horizontal="left"/>
    </xf>
    <xf numFmtId="169" fontId="12" fillId="28" borderId="190" xfId="13" applyNumberFormat="1" applyFont="1" applyFill="1" applyBorder="1" applyAlignment="1">
      <alignment vertical="center"/>
    </xf>
    <xf numFmtId="0" fontId="14" fillId="32" borderId="222" xfId="0" applyFont="1" applyFill="1" applyBorder="1" applyAlignment="1">
      <alignment vertical="center"/>
    </xf>
    <xf numFmtId="168" fontId="14" fillId="32" borderId="69" xfId="13" applyNumberFormat="1" applyFont="1" applyFill="1" applyBorder="1" applyAlignment="1">
      <alignment vertical="center"/>
    </xf>
    <xf numFmtId="168" fontId="14" fillId="33" borderId="69" xfId="13" applyNumberFormat="1" applyFont="1" applyFill="1" applyBorder="1" applyAlignment="1">
      <alignment vertical="center"/>
    </xf>
    <xf numFmtId="0" fontId="11" fillId="47" borderId="102" xfId="0" applyFont="1" applyFill="1" applyBorder="1" applyAlignment="1">
      <alignment horizontal="center" vertical="center"/>
    </xf>
    <xf numFmtId="178" fontId="0" fillId="0" borderId="218" xfId="0" applyNumberFormat="1" applyBorder="1" applyAlignment="1">
      <alignment horizontal="right" vertical="center"/>
    </xf>
    <xf numFmtId="178" fontId="0" fillId="0" borderId="227" xfId="0" applyNumberFormat="1" applyBorder="1" applyAlignment="1">
      <alignment horizontal="right" vertical="center"/>
    </xf>
    <xf numFmtId="178" fontId="0" fillId="0" borderId="242" xfId="0" applyNumberFormat="1" applyBorder="1" applyAlignment="1">
      <alignment horizontal="right" vertical="center"/>
    </xf>
    <xf numFmtId="9" fontId="0" fillId="26" borderId="133" xfId="0" applyNumberFormat="1" applyFill="1" applyBorder="1" applyAlignment="1">
      <alignment horizontal="center" vertical="center"/>
    </xf>
    <xf numFmtId="9" fontId="0" fillId="26" borderId="134" xfId="0" applyNumberFormat="1" applyFill="1" applyBorder="1" applyAlignment="1">
      <alignment horizontal="center" vertical="center"/>
    </xf>
    <xf numFmtId="9" fontId="0" fillId="26" borderId="135" xfId="0" applyNumberFormat="1" applyFill="1" applyBorder="1" applyAlignment="1">
      <alignment horizontal="center" vertical="center"/>
    </xf>
    <xf numFmtId="0" fontId="0" fillId="12" borderId="243" xfId="0" applyFill="1" applyBorder="1" applyAlignment="1" applyProtection="1">
      <alignment horizontal="left" vertical="center"/>
      <protection locked="0"/>
    </xf>
    <xf numFmtId="0" fontId="14" fillId="16" borderId="235" xfId="0" applyFont="1" applyFill="1" applyBorder="1" applyAlignment="1">
      <alignment horizontal="center" vertical="center" wrapText="1"/>
    </xf>
    <xf numFmtId="169" fontId="0" fillId="12" borderId="244" xfId="13" applyNumberFormat="1" applyFont="1" applyFill="1" applyBorder="1" applyAlignment="1" applyProtection="1">
      <alignment vertical="center"/>
      <protection locked="0"/>
    </xf>
    <xf numFmtId="169" fontId="0" fillId="29" borderId="220" xfId="13" applyNumberFormat="1" applyFont="1" applyFill="1" applyBorder="1" applyAlignment="1">
      <alignment vertical="center"/>
    </xf>
    <xf numFmtId="169" fontId="0" fillId="29" borderId="217" xfId="13" applyNumberFormat="1" applyFont="1" applyFill="1" applyBorder="1" applyAlignment="1">
      <alignment vertical="center"/>
    </xf>
    <xf numFmtId="169" fontId="0" fillId="29" borderId="244" xfId="13" applyNumberFormat="1" applyFont="1" applyFill="1" applyBorder="1" applyAlignment="1">
      <alignment vertical="center"/>
    </xf>
    <xf numFmtId="169" fontId="0" fillId="29" borderId="201" xfId="13" applyNumberFormat="1" applyFont="1" applyFill="1" applyBorder="1" applyAlignment="1">
      <alignment vertical="center"/>
    </xf>
    <xf numFmtId="169" fontId="0" fillId="29" borderId="202" xfId="13" applyNumberFormat="1" applyFont="1" applyFill="1" applyBorder="1" applyAlignment="1">
      <alignment vertical="center"/>
    </xf>
    <xf numFmtId="169" fontId="0" fillId="52" borderId="227" xfId="13" applyNumberFormat="1" applyFont="1" applyFill="1" applyBorder="1" applyAlignment="1">
      <alignment vertical="center"/>
    </xf>
    <xf numFmtId="169" fontId="0" fillId="29" borderId="102" xfId="13" applyNumberFormat="1" applyFont="1" applyFill="1" applyBorder="1" applyAlignment="1">
      <alignment vertical="center"/>
    </xf>
    <xf numFmtId="169" fontId="0" fillId="37" borderId="220" xfId="13" applyNumberFormat="1" applyFont="1" applyFill="1" applyBorder="1" applyAlignment="1">
      <alignment vertical="center"/>
    </xf>
    <xf numFmtId="169" fontId="0" fillId="37" borderId="217" xfId="13" applyNumberFormat="1" applyFont="1" applyFill="1" applyBorder="1" applyAlignment="1">
      <alignment vertical="center"/>
    </xf>
    <xf numFmtId="169" fontId="0" fillId="51" borderId="227" xfId="13" applyNumberFormat="1" applyFont="1" applyFill="1" applyBorder="1" applyAlignment="1">
      <alignment vertical="center"/>
    </xf>
    <xf numFmtId="171" fontId="0" fillId="0" borderId="244" xfId="0" applyNumberFormat="1" applyBorder="1" applyAlignment="1">
      <alignment horizontal="center" vertical="center"/>
    </xf>
    <xf numFmtId="171" fontId="0" fillId="46" borderId="244" xfId="13" applyNumberFormat="1" applyFont="1" applyFill="1" applyBorder="1" applyAlignment="1">
      <alignment horizontal="center" vertical="center"/>
    </xf>
    <xf numFmtId="0" fontId="0" fillId="43" borderId="0" xfId="0" applyFill="1"/>
    <xf numFmtId="0" fontId="14" fillId="43" borderId="0" xfId="0" applyFont="1" applyFill="1" applyAlignment="1">
      <alignment horizontal="center" vertical="center"/>
    </xf>
    <xf numFmtId="0" fontId="0" fillId="43" borderId="0" xfId="0" applyFill="1" applyAlignment="1">
      <alignment horizontal="center" vertical="center"/>
    </xf>
    <xf numFmtId="171" fontId="0" fillId="12" borderId="86" xfId="13" applyNumberFormat="1" applyFont="1" applyFill="1" applyBorder="1" applyAlignment="1" applyProtection="1">
      <alignment horizontal="center" vertical="center"/>
      <protection locked="0"/>
    </xf>
    <xf numFmtId="171" fontId="0" fillId="46" borderId="157" xfId="13" applyNumberFormat="1" applyFont="1" applyFill="1" applyBorder="1" applyAlignment="1">
      <alignment horizontal="center" vertical="center"/>
    </xf>
    <xf numFmtId="171" fontId="0" fillId="46" borderId="136" xfId="13" applyNumberFormat="1" applyFont="1" applyFill="1" applyBorder="1" applyAlignment="1">
      <alignment horizontal="center" vertical="center"/>
    </xf>
    <xf numFmtId="0" fontId="0" fillId="0" borderId="245" xfId="0" applyBorder="1" applyAlignment="1">
      <alignment horizontal="left" vertical="center"/>
    </xf>
    <xf numFmtId="180" fontId="0" fillId="12" borderId="181" xfId="13" applyNumberFormat="1" applyFont="1" applyFill="1" applyBorder="1" applyAlignment="1" applyProtection="1">
      <alignment horizontal="center" vertical="center"/>
      <protection locked="0"/>
    </xf>
    <xf numFmtId="179" fontId="0" fillId="46" borderId="243" xfId="13" applyNumberFormat="1" applyFont="1" applyFill="1" applyBorder="1" applyAlignment="1">
      <alignment vertical="center"/>
    </xf>
    <xf numFmtId="179" fontId="0" fillId="46" borderId="233" xfId="13" applyNumberFormat="1" applyFont="1" applyFill="1" applyBorder="1" applyAlignment="1">
      <alignment vertical="center"/>
    </xf>
    <xf numFmtId="0" fontId="0" fillId="46" borderId="133" xfId="0" applyFill="1" applyBorder="1" applyAlignment="1">
      <alignment horizontal="left" vertical="center"/>
    </xf>
    <xf numFmtId="0" fontId="0" fillId="46" borderId="134" xfId="0" applyFill="1" applyBorder="1" applyAlignment="1">
      <alignment horizontal="left" vertical="center"/>
    </xf>
    <xf numFmtId="0" fontId="0" fillId="46" borderId="135" xfId="0" applyFill="1" applyBorder="1" applyAlignment="1">
      <alignment horizontal="left" vertical="center"/>
    </xf>
    <xf numFmtId="180" fontId="0" fillId="12" borderId="200" xfId="13" applyNumberFormat="1" applyFont="1" applyFill="1" applyBorder="1" applyAlignment="1" applyProtection="1">
      <alignment horizontal="center" vertical="center"/>
      <protection locked="0"/>
    </xf>
    <xf numFmtId="180" fontId="0" fillId="12" borderId="201" xfId="13" applyNumberFormat="1" applyFont="1" applyFill="1" applyBorder="1" applyAlignment="1" applyProtection="1">
      <alignment horizontal="center" vertical="center"/>
      <protection locked="0"/>
    </xf>
    <xf numFmtId="180" fontId="0" fillId="12" borderId="227" xfId="13" applyNumberFormat="1" applyFont="1" applyFill="1" applyBorder="1" applyAlignment="1" applyProtection="1">
      <alignment horizontal="center" vertical="center"/>
      <protection locked="0"/>
    </xf>
    <xf numFmtId="180" fontId="14" fillId="29" borderId="134" xfId="0" applyNumberFormat="1" applyFont="1" applyFill="1" applyBorder="1" applyAlignment="1">
      <alignment vertical="center"/>
    </xf>
    <xf numFmtId="0" fontId="0" fillId="46" borderId="247" xfId="0" applyFill="1" applyBorder="1" applyAlignment="1">
      <alignment horizontal="left" vertical="center"/>
    </xf>
    <xf numFmtId="0" fontId="0" fillId="46" borderId="0" xfId="0" applyFill="1" applyAlignment="1">
      <alignment horizontal="left" vertical="center"/>
    </xf>
    <xf numFmtId="0" fontId="0" fillId="46" borderId="248" xfId="0" applyFill="1" applyBorder="1" applyAlignment="1">
      <alignment horizontal="left" vertical="center"/>
    </xf>
    <xf numFmtId="169" fontId="15" fillId="0" borderId="157" xfId="13" applyNumberFormat="1" applyBorder="1" applyAlignment="1">
      <alignment vertical="center"/>
    </xf>
    <xf numFmtId="169" fontId="15" fillId="0" borderId="246" xfId="13" applyNumberFormat="1" applyBorder="1" applyAlignment="1">
      <alignment vertical="center"/>
    </xf>
    <xf numFmtId="169" fontId="15" fillId="0" borderId="86" xfId="13" applyNumberFormat="1" applyBorder="1" applyAlignment="1">
      <alignment vertical="center"/>
    </xf>
    <xf numFmtId="169" fontId="15" fillId="0" borderId="136" xfId="13" applyNumberFormat="1" applyBorder="1" applyAlignment="1">
      <alignment vertical="center"/>
    </xf>
    <xf numFmtId="169" fontId="0" fillId="10" borderId="215" xfId="13" applyNumberFormat="1" applyFont="1" applyFill="1" applyBorder="1" applyAlignment="1">
      <alignment horizontal="right" vertical="center"/>
    </xf>
    <xf numFmtId="169" fontId="0" fillId="10" borderId="157" xfId="13" applyNumberFormat="1" applyFont="1" applyFill="1" applyBorder="1" applyAlignment="1">
      <alignment horizontal="right" vertical="center"/>
    </xf>
    <xf numFmtId="169" fontId="23" fillId="32" borderId="237" xfId="13" applyNumberFormat="1" applyFont="1" applyFill="1" applyBorder="1" applyAlignment="1">
      <alignment vertical="center" wrapText="1"/>
    </xf>
    <xf numFmtId="179" fontId="0" fillId="29" borderId="215" xfId="13" applyNumberFormat="1" applyFont="1" applyFill="1" applyBorder="1" applyAlignment="1">
      <alignment vertical="center"/>
    </xf>
    <xf numFmtId="179" fontId="0" fillId="29" borderId="157" xfId="13" applyNumberFormat="1" applyFont="1" applyFill="1" applyBorder="1" applyAlignment="1">
      <alignment vertical="center"/>
    </xf>
    <xf numFmtId="179" fontId="0" fillId="29" borderId="136" xfId="13" applyNumberFormat="1" applyFont="1" applyFill="1" applyBorder="1" applyAlignment="1">
      <alignment vertical="center"/>
    </xf>
    <xf numFmtId="169" fontId="14" fillId="35" borderId="55" xfId="0" applyNumberFormat="1" applyFont="1" applyFill="1" applyBorder="1" applyAlignment="1">
      <alignment horizontal="center" vertical="center" wrapText="1"/>
    </xf>
    <xf numFmtId="169" fontId="14" fillId="35" borderId="56" xfId="0" applyNumberFormat="1" applyFont="1" applyFill="1" applyBorder="1" applyAlignment="1">
      <alignment horizontal="center" vertical="center" wrapText="1"/>
    </xf>
    <xf numFmtId="169" fontId="14" fillId="35" borderId="57" xfId="0" applyNumberFormat="1" applyFont="1" applyFill="1" applyBorder="1" applyAlignment="1">
      <alignment horizontal="center" vertical="center" wrapText="1"/>
    </xf>
    <xf numFmtId="180" fontId="14" fillId="29" borderId="249" xfId="0" applyNumberFormat="1" applyFont="1" applyFill="1" applyBorder="1" applyAlignment="1">
      <alignment vertical="center"/>
    </xf>
    <xf numFmtId="169" fontId="0" fillId="37" borderId="86" xfId="13" applyNumberFormat="1" applyFont="1" applyFill="1" applyBorder="1" applyAlignment="1">
      <alignment vertical="center"/>
    </xf>
    <xf numFmtId="169" fontId="0" fillId="37" borderId="157" xfId="13" applyNumberFormat="1" applyFont="1" applyFill="1" applyBorder="1" applyAlignment="1">
      <alignment vertical="center"/>
    </xf>
    <xf numFmtId="169" fontId="0" fillId="37" borderId="246" xfId="13" applyNumberFormat="1" applyFont="1" applyFill="1" applyBorder="1" applyAlignment="1">
      <alignment vertical="center"/>
    </xf>
    <xf numFmtId="169" fontId="0" fillId="0" borderId="246" xfId="13" applyNumberFormat="1" applyFont="1" applyBorder="1" applyAlignment="1">
      <alignment vertical="center"/>
    </xf>
    <xf numFmtId="171" fontId="0" fillId="0" borderId="86" xfId="0" applyNumberFormat="1" applyBorder="1" applyAlignment="1">
      <alignment horizontal="center" vertical="center"/>
    </xf>
    <xf numFmtId="171" fontId="0" fillId="0" borderId="157" xfId="0" applyNumberFormat="1" applyBorder="1" applyAlignment="1">
      <alignment horizontal="center" vertical="center"/>
    </xf>
    <xf numFmtId="171" fontId="0" fillId="0" borderId="136" xfId="0" applyNumberFormat="1" applyBorder="1" applyAlignment="1">
      <alignment horizontal="center" vertical="center"/>
    </xf>
    <xf numFmtId="169" fontId="0" fillId="29" borderId="86" xfId="13" applyNumberFormat="1" applyFont="1" applyFill="1" applyBorder="1" applyAlignment="1">
      <alignment vertical="center"/>
    </xf>
    <xf numFmtId="169" fontId="0" fillId="29" borderId="157" xfId="13" applyNumberFormat="1" applyFont="1" applyFill="1" applyBorder="1" applyAlignment="1">
      <alignment vertical="center"/>
    </xf>
    <xf numFmtId="169" fontId="0" fillId="29" borderId="246" xfId="13" applyNumberFormat="1" applyFont="1" applyFill="1" applyBorder="1" applyAlignment="1">
      <alignment vertical="center"/>
    </xf>
    <xf numFmtId="169" fontId="0" fillId="29" borderId="218" xfId="13" applyNumberFormat="1" applyFont="1" applyFill="1" applyBorder="1" applyAlignment="1">
      <alignment vertical="center"/>
    </xf>
    <xf numFmtId="169" fontId="0" fillId="29" borderId="227" xfId="13" applyNumberFormat="1" applyFont="1" applyFill="1" applyBorder="1" applyAlignment="1">
      <alignment vertical="center"/>
    </xf>
    <xf numFmtId="169" fontId="0" fillId="0" borderId="216" xfId="13" applyNumberFormat="1" applyFont="1" applyBorder="1" applyAlignment="1">
      <alignment vertical="center"/>
    </xf>
    <xf numFmtId="169" fontId="0" fillId="0" borderId="243" xfId="13" applyNumberFormat="1" applyFont="1" applyBorder="1" applyAlignment="1">
      <alignment vertical="center"/>
    </xf>
    <xf numFmtId="169" fontId="0" fillId="0" borderId="122" xfId="13" applyNumberFormat="1" applyFont="1" applyBorder="1" applyAlignment="1">
      <alignment vertical="center"/>
    </xf>
    <xf numFmtId="169" fontId="0" fillId="37" borderId="244" xfId="13" applyNumberFormat="1" applyFont="1" applyFill="1" applyBorder="1" applyAlignment="1">
      <alignment vertical="center"/>
    </xf>
    <xf numFmtId="169" fontId="0" fillId="37" borderId="202" xfId="13" applyNumberFormat="1" applyFont="1" applyFill="1" applyBorder="1" applyAlignment="1">
      <alignment vertical="center"/>
    </xf>
    <xf numFmtId="169" fontId="0" fillId="37" borderId="110" xfId="13" applyNumberFormat="1" applyFont="1" applyFill="1" applyBorder="1" applyAlignment="1">
      <alignment vertical="center"/>
    </xf>
    <xf numFmtId="169" fontId="0" fillId="29" borderId="216" xfId="13" applyNumberFormat="1" applyFont="1" applyFill="1" applyBorder="1" applyAlignment="1">
      <alignment vertical="center"/>
    </xf>
    <xf numFmtId="169" fontId="0" fillId="29" borderId="243" xfId="13" applyNumberFormat="1" applyFont="1" applyFill="1" applyBorder="1" applyAlignment="1">
      <alignment vertical="center"/>
    </xf>
    <xf numFmtId="169" fontId="0" fillId="29" borderId="122" xfId="13" applyNumberFormat="1" applyFont="1" applyFill="1" applyBorder="1" applyAlignment="1">
      <alignment vertical="center"/>
    </xf>
    <xf numFmtId="168" fontId="0" fillId="0" borderId="245" xfId="13" applyNumberFormat="1" applyFont="1" applyBorder="1" applyAlignment="1">
      <alignment vertical="center"/>
    </xf>
    <xf numFmtId="168" fontId="0" fillId="0" borderId="133" xfId="13" applyNumberFormat="1" applyFont="1" applyBorder="1" applyAlignment="1">
      <alignment vertical="center"/>
    </xf>
    <xf numFmtId="168" fontId="0" fillId="0" borderId="134" xfId="13" applyNumberFormat="1" applyFont="1" applyBorder="1" applyAlignment="1">
      <alignment vertical="center"/>
    </xf>
    <xf numFmtId="168" fontId="0" fillId="0" borderId="135" xfId="13" applyNumberFormat="1" applyFont="1" applyBorder="1" applyAlignment="1">
      <alignment vertical="center"/>
    </xf>
    <xf numFmtId="181" fontId="15" fillId="37" borderId="200" xfId="16" applyNumberFormat="1" applyFill="1" applyBorder="1" applyAlignment="1">
      <alignment horizontal="center" vertical="center"/>
    </xf>
    <xf numFmtId="181" fontId="15" fillId="37" borderId="217" xfId="16" applyNumberFormat="1" applyFill="1" applyBorder="1" applyAlignment="1">
      <alignment horizontal="center" vertical="center"/>
    </xf>
    <xf numFmtId="181" fontId="15" fillId="37" borderId="216" xfId="16" applyNumberFormat="1" applyFill="1" applyBorder="1" applyAlignment="1">
      <alignment horizontal="center" vertical="center"/>
    </xf>
    <xf numFmtId="181" fontId="15" fillId="37" borderId="243" xfId="16" applyNumberFormat="1" applyFill="1" applyBorder="1" applyAlignment="1">
      <alignment horizontal="center" vertical="center"/>
    </xf>
    <xf numFmtId="181" fontId="15" fillId="37" borderId="122" xfId="16" applyNumberFormat="1" applyFill="1" applyBorder="1" applyAlignment="1">
      <alignment horizontal="center" vertical="center"/>
    </xf>
    <xf numFmtId="169" fontId="0" fillId="12" borderId="218" xfId="13" applyNumberFormat="1" applyFont="1" applyFill="1" applyBorder="1" applyAlignment="1" applyProtection="1">
      <alignment vertical="center"/>
      <protection locked="0"/>
    </xf>
    <xf numFmtId="169" fontId="0" fillId="12" borderId="227" xfId="13" applyNumberFormat="1" applyFont="1" applyFill="1" applyBorder="1" applyAlignment="1" applyProtection="1">
      <alignment vertical="center"/>
      <protection locked="0"/>
    </xf>
    <xf numFmtId="169" fontId="0" fillId="12" borderId="102" xfId="13" applyNumberFormat="1" applyFont="1" applyFill="1" applyBorder="1" applyAlignment="1" applyProtection="1">
      <alignment vertical="center"/>
      <protection locked="0"/>
    </xf>
    <xf numFmtId="169" fontId="0" fillId="29" borderId="133" xfId="13" applyNumberFormat="1" applyFont="1" applyFill="1" applyBorder="1" applyAlignment="1">
      <alignment vertical="center"/>
    </xf>
    <xf numFmtId="169" fontId="0" fillId="29" borderId="134" xfId="13" applyNumberFormat="1" applyFont="1" applyFill="1" applyBorder="1" applyAlignment="1">
      <alignment vertical="center"/>
    </xf>
    <xf numFmtId="169" fontId="0" fillId="29" borderId="135" xfId="13" applyNumberFormat="1" applyFont="1" applyFill="1" applyBorder="1" applyAlignment="1">
      <alignment vertical="center"/>
    </xf>
    <xf numFmtId="174" fontId="0" fillId="0" borderId="227" xfId="12" applyNumberFormat="1" applyFont="1" applyBorder="1" applyAlignment="1">
      <alignment vertical="center"/>
    </xf>
    <xf numFmtId="169" fontId="15" fillId="0" borderId="244" xfId="13" applyNumberFormat="1" applyBorder="1" applyAlignment="1">
      <alignment vertical="center"/>
    </xf>
    <xf numFmtId="169" fontId="0" fillId="49" borderId="106" xfId="13" applyNumberFormat="1" applyFont="1" applyFill="1" applyBorder="1" applyAlignment="1">
      <alignment vertical="center"/>
    </xf>
    <xf numFmtId="169" fontId="0" fillId="49" borderId="200" xfId="13" applyNumberFormat="1" applyFont="1" applyFill="1" applyBorder="1" applyAlignment="1">
      <alignment vertical="center"/>
    </xf>
    <xf numFmtId="178" fontId="0" fillId="19" borderId="133" xfId="0" applyNumberFormat="1" applyFill="1" applyBorder="1" applyAlignment="1">
      <alignment vertical="center"/>
    </xf>
    <xf numFmtId="0" fontId="14" fillId="16" borderId="234" xfId="0" applyFont="1" applyFill="1" applyBorder="1" applyAlignment="1">
      <alignment horizontal="center" vertical="center" wrapText="1"/>
    </xf>
    <xf numFmtId="0" fontId="14" fillId="16" borderId="242" xfId="0" applyFont="1" applyFill="1" applyBorder="1" applyAlignment="1">
      <alignment horizontal="center" vertical="center" wrapText="1"/>
    </xf>
    <xf numFmtId="179" fontId="0" fillId="12" borderId="109" xfId="13" applyNumberFormat="1" applyFont="1" applyFill="1" applyBorder="1" applyAlignment="1" applyProtection="1">
      <alignment vertical="center"/>
      <protection locked="0"/>
    </xf>
    <xf numFmtId="178" fontId="0" fillId="29" borderId="218" xfId="0" applyNumberFormat="1" applyFill="1" applyBorder="1" applyAlignment="1">
      <alignment vertical="center"/>
    </xf>
    <xf numFmtId="178" fontId="0" fillId="29" borderId="227" xfId="0" applyNumberFormat="1" applyFill="1" applyBorder="1" applyAlignment="1">
      <alignment vertical="center"/>
    </xf>
    <xf numFmtId="178" fontId="0" fillId="29" borderId="102" xfId="0" applyNumberFormat="1" applyFill="1" applyBorder="1" applyAlignment="1">
      <alignment vertical="center"/>
    </xf>
    <xf numFmtId="178" fontId="0" fillId="19" borderId="134" xfId="0" applyNumberFormat="1" applyFill="1" applyBorder="1" applyAlignment="1">
      <alignment vertical="center"/>
    </xf>
    <xf numFmtId="178" fontId="0" fillId="19" borderId="135" xfId="0" applyNumberFormat="1" applyFill="1" applyBorder="1" applyAlignment="1">
      <alignment vertical="center"/>
    </xf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200" xfId="0" applyFont="1" applyBorder="1" applyAlignment="1" applyProtection="1">
      <alignment vertical="center" wrapText="1"/>
      <protection locked="0"/>
    </xf>
    <xf numFmtId="0" fontId="14" fillId="0" borderId="200" xfId="0" applyFont="1" applyBorder="1" applyAlignment="1" applyProtection="1">
      <alignment wrapText="1"/>
      <protection locked="0"/>
    </xf>
    <xf numFmtId="0" fontId="0" fillId="0" borderId="200" xfId="0" applyBorder="1" applyAlignment="1" applyProtection="1">
      <alignment vertical="center" wrapText="1"/>
      <protection locked="0"/>
    </xf>
    <xf numFmtId="0" fontId="0" fillId="0" borderId="200" xfId="0" applyBorder="1" applyAlignment="1" applyProtection="1">
      <alignment wrapText="1"/>
      <protection locked="0"/>
    </xf>
    <xf numFmtId="0" fontId="0" fillId="0" borderId="200" xfId="0" applyBorder="1" applyAlignment="1" applyProtection="1">
      <alignment horizontal="left" wrapText="1"/>
      <protection locked="0"/>
    </xf>
    <xf numFmtId="0" fontId="0" fillId="0" borderId="200" xfId="0" applyBorder="1" applyAlignment="1" applyProtection="1">
      <alignment horizontal="center" vertical="center" wrapText="1"/>
      <protection locked="0"/>
    </xf>
    <xf numFmtId="0" fontId="14" fillId="0" borderId="200" xfId="0" applyFont="1" applyBorder="1" applyProtection="1">
      <protection locked="0"/>
    </xf>
    <xf numFmtId="0" fontId="14" fillId="0" borderId="0" xfId="0" applyFont="1" applyAlignment="1" applyProtection="1">
      <alignment vertical="top" wrapText="1"/>
      <protection locked="0"/>
    </xf>
    <xf numFmtId="0" fontId="0" fillId="0" borderId="0" xfId="0" applyAlignment="1" applyProtection="1">
      <alignment vertical="top"/>
      <protection locked="0"/>
    </xf>
    <xf numFmtId="0" fontId="0" fillId="0" borderId="274" xfId="0" applyBorder="1" applyProtection="1">
      <protection locked="0"/>
    </xf>
    <xf numFmtId="0" fontId="0" fillId="0" borderId="246" xfId="0" applyBorder="1" applyAlignment="1" applyProtection="1">
      <alignment vertical="top"/>
      <protection locked="0"/>
    </xf>
    <xf numFmtId="0" fontId="0" fillId="0" borderId="215" xfId="0" applyBorder="1" applyProtection="1">
      <protection locked="0"/>
    </xf>
    <xf numFmtId="0" fontId="0" fillId="0" borderId="273" xfId="0" applyBorder="1" applyAlignment="1" applyProtection="1">
      <alignment vertical="top"/>
      <protection locked="0"/>
    </xf>
    <xf numFmtId="0" fontId="0" fillId="0" borderId="275" xfId="0" applyBorder="1" applyAlignment="1" applyProtection="1">
      <alignment vertical="top"/>
      <protection locked="0"/>
    </xf>
    <xf numFmtId="0" fontId="0" fillId="0" borderId="247" xfId="0" applyBorder="1" applyAlignment="1" applyProtection="1">
      <alignment vertical="top"/>
      <protection locked="0"/>
    </xf>
    <xf numFmtId="0" fontId="0" fillId="12" borderId="263" xfId="0" applyFill="1" applyBorder="1" applyAlignment="1" applyProtection="1">
      <alignment horizontal="left" vertical="center"/>
      <protection locked="0"/>
    </xf>
    <xf numFmtId="0" fontId="0" fillId="12" borderId="227" xfId="0" applyFill="1" applyBorder="1" applyProtection="1">
      <protection locked="0"/>
    </xf>
    <xf numFmtId="179" fontId="0" fillId="12" borderId="227" xfId="13" applyNumberFormat="1" applyFont="1" applyFill="1" applyBorder="1" applyAlignment="1" applyProtection="1">
      <alignment vertical="center"/>
      <protection locked="0"/>
    </xf>
    <xf numFmtId="179" fontId="0" fillId="12" borderId="102" xfId="13" applyNumberFormat="1" applyFont="1" applyFill="1" applyBorder="1" applyAlignment="1" applyProtection="1">
      <alignment vertical="center"/>
      <protection locked="0"/>
    </xf>
    <xf numFmtId="0" fontId="0" fillId="12" borderId="257" xfId="0" applyFill="1" applyBorder="1" applyAlignment="1" applyProtection="1">
      <alignment horizontal="left" vertical="center"/>
      <protection locked="0"/>
    </xf>
    <xf numFmtId="0" fontId="0" fillId="12" borderId="256" xfId="0" applyFill="1" applyBorder="1" applyProtection="1">
      <protection locked="0"/>
    </xf>
    <xf numFmtId="0" fontId="0" fillId="12" borderId="265" xfId="0" applyFill="1" applyBorder="1" applyAlignment="1" applyProtection="1">
      <alignment horizontal="left" vertical="center"/>
      <protection locked="0"/>
    </xf>
    <xf numFmtId="179" fontId="0" fillId="12" borderId="256" xfId="13" applyNumberFormat="1" applyFont="1" applyFill="1" applyBorder="1" applyAlignment="1" applyProtection="1">
      <alignment vertical="center"/>
      <protection locked="0"/>
    </xf>
    <xf numFmtId="9" fontId="0" fillId="12" borderId="267" xfId="0" applyNumberFormat="1" applyFill="1" applyBorder="1" applyAlignment="1" applyProtection="1">
      <alignment horizontal="center" vertical="center"/>
      <protection locked="0"/>
    </xf>
    <xf numFmtId="9" fontId="0" fillId="12" borderId="201" xfId="0" applyNumberFormat="1" applyFill="1" applyBorder="1" applyAlignment="1" applyProtection="1">
      <alignment horizontal="center" vertical="center"/>
      <protection locked="0"/>
    </xf>
    <xf numFmtId="170" fontId="0" fillId="12" borderId="264" xfId="16" applyFont="1" applyFill="1" applyBorder="1" applyAlignment="1" applyProtection="1">
      <alignment horizontal="center" vertical="center"/>
      <protection locked="0"/>
    </xf>
    <xf numFmtId="170" fontId="0" fillId="12" borderId="269" xfId="16" applyFont="1" applyFill="1" applyBorder="1" applyAlignment="1" applyProtection="1">
      <alignment horizontal="center" vertical="center"/>
      <protection locked="0"/>
    </xf>
    <xf numFmtId="0" fontId="22" fillId="0" borderId="0" xfId="20" applyAlignment="1" applyProtection="1">
      <alignment horizontal="center"/>
    </xf>
    <xf numFmtId="0" fontId="22" fillId="0" borderId="0" xfId="20"/>
    <xf numFmtId="0" fontId="0" fillId="0" borderId="0" xfId="0"/>
    <xf numFmtId="0" fontId="22" fillId="0" borderId="0" xfId="20" applyBorder="1" applyAlignment="1" applyProtection="1">
      <alignment horizontal="left" vertical="center"/>
    </xf>
    <xf numFmtId="0" fontId="22" fillId="0" borderId="0" xfId="20" applyBorder="1" applyAlignment="1" applyProtection="1">
      <alignment horizontal="left" vertical="center" wrapText="1"/>
    </xf>
    <xf numFmtId="0" fontId="22" fillId="0" borderId="0" xfId="20" applyBorder="1" applyAlignment="1" applyProtection="1">
      <alignment horizontal="left" vertical="center" indent="2"/>
    </xf>
    <xf numFmtId="169" fontId="0" fillId="9" borderId="249" xfId="13" applyNumberFormat="1" applyFont="1" applyFill="1" applyBorder="1" applyAlignment="1">
      <alignment horizontal="right" vertical="center"/>
    </xf>
    <xf numFmtId="169" fontId="0" fillId="9" borderId="134" xfId="13" applyNumberFormat="1" applyFont="1" applyFill="1" applyBorder="1" applyAlignment="1">
      <alignment horizontal="right" vertical="center"/>
    </xf>
    <xf numFmtId="0" fontId="0" fillId="0" borderId="161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156" xfId="0" applyBorder="1" applyAlignment="1">
      <alignment horizontal="center" vertical="center" wrapText="1"/>
    </xf>
    <xf numFmtId="169" fontId="0" fillId="9" borderId="133" xfId="13" applyNumberFormat="1" applyFont="1" applyFill="1" applyBorder="1" applyAlignment="1">
      <alignment horizontal="right" vertical="center"/>
    </xf>
    <xf numFmtId="169" fontId="23" fillId="32" borderId="91" xfId="0" applyNumberFormat="1" applyFont="1" applyFill="1" applyBorder="1" applyAlignment="1">
      <alignment horizontal="right" vertical="center"/>
    </xf>
    <xf numFmtId="169" fontId="23" fillId="32" borderId="151" xfId="0" applyNumberFormat="1" applyFont="1" applyFill="1" applyBorder="1" applyAlignment="1">
      <alignment horizontal="right" vertical="center"/>
    </xf>
    <xf numFmtId="0" fontId="24" fillId="44" borderId="164" xfId="0" applyFont="1" applyFill="1" applyBorder="1" applyAlignment="1">
      <alignment horizontal="center" vertical="center" wrapText="1"/>
    </xf>
    <xf numFmtId="0" fontId="24" fillId="44" borderId="115" xfId="0" applyFont="1" applyFill="1" applyBorder="1" applyAlignment="1">
      <alignment horizontal="center" vertical="center" wrapText="1"/>
    </xf>
    <xf numFmtId="0" fontId="24" fillId="44" borderId="52" xfId="0" applyFont="1" applyFill="1" applyBorder="1" applyAlignment="1">
      <alignment horizontal="center" vertical="center" wrapText="1"/>
    </xf>
    <xf numFmtId="169" fontId="23" fillId="32" borderId="151" xfId="0" applyNumberFormat="1" applyFont="1" applyFill="1" applyBorder="1" applyAlignment="1">
      <alignment horizontal="center" vertical="center"/>
    </xf>
    <xf numFmtId="0" fontId="14" fillId="15" borderId="159" xfId="0" applyFont="1" applyFill="1" applyBorder="1" applyAlignment="1">
      <alignment horizontal="center" vertical="center" wrapText="1"/>
    </xf>
    <xf numFmtId="0" fontId="14" fillId="15" borderId="160" xfId="0" applyFont="1" applyFill="1" applyBorder="1" applyAlignment="1">
      <alignment horizontal="center" vertical="center" wrapText="1"/>
    </xf>
    <xf numFmtId="169" fontId="23" fillId="32" borderId="91" xfId="0" applyNumberFormat="1" applyFont="1" applyFill="1" applyBorder="1" applyAlignment="1">
      <alignment horizontal="center" vertical="center"/>
    </xf>
    <xf numFmtId="0" fontId="24" fillId="0" borderId="164" xfId="0" applyFont="1" applyBorder="1" applyAlignment="1">
      <alignment horizontal="center" vertical="center" wrapText="1"/>
    </xf>
    <xf numFmtId="0" fontId="24" fillId="0" borderId="115" xfId="0" applyFont="1" applyBorder="1" applyAlignment="1">
      <alignment horizontal="center" vertical="center" wrapText="1"/>
    </xf>
    <xf numFmtId="0" fontId="24" fillId="0" borderId="5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right" vertical="center"/>
    </xf>
    <xf numFmtId="0" fontId="24" fillId="12" borderId="3" xfId="0" applyFont="1" applyFill="1" applyBorder="1" applyAlignment="1" applyProtection="1">
      <alignment horizontal="center" vertical="center"/>
      <protection locked="0"/>
    </xf>
    <xf numFmtId="0" fontId="24" fillId="12" borderId="50" xfId="0" applyFont="1" applyFill="1" applyBorder="1" applyAlignment="1" applyProtection="1">
      <alignment horizontal="center" vertical="center"/>
      <protection locked="0"/>
    </xf>
    <xf numFmtId="0" fontId="24" fillId="12" borderId="4" xfId="0" applyFont="1" applyFill="1" applyBorder="1" applyAlignment="1" applyProtection="1">
      <alignment horizontal="center" vertical="center"/>
      <protection locked="0"/>
    </xf>
    <xf numFmtId="169" fontId="14" fillId="15" borderId="165" xfId="0" applyNumberFormat="1" applyFont="1" applyFill="1" applyBorder="1" applyAlignment="1">
      <alignment horizontal="center" vertical="center"/>
    </xf>
    <xf numFmtId="169" fontId="14" fillId="15" borderId="150" xfId="0" applyNumberFormat="1" applyFont="1" applyFill="1" applyBorder="1" applyAlignment="1">
      <alignment horizontal="center" vertical="center"/>
    </xf>
    <xf numFmtId="169" fontId="24" fillId="39" borderId="92" xfId="0" applyNumberFormat="1" applyFont="1" applyFill="1" applyBorder="1" applyAlignment="1">
      <alignment horizontal="center" vertical="center" wrapText="1"/>
    </xf>
    <xf numFmtId="169" fontId="24" fillId="39" borderId="94" xfId="0" applyNumberFormat="1" applyFont="1" applyFill="1" applyBorder="1" applyAlignment="1">
      <alignment horizontal="center" vertical="center" wrapText="1"/>
    </xf>
    <xf numFmtId="169" fontId="24" fillId="39" borderId="97" xfId="0" applyNumberFormat="1" applyFont="1" applyFill="1" applyBorder="1" applyAlignment="1">
      <alignment horizontal="center" vertical="center" wrapText="1"/>
    </xf>
    <xf numFmtId="169" fontId="25" fillId="34" borderId="92" xfId="0" applyNumberFormat="1" applyFont="1" applyFill="1" applyBorder="1" applyAlignment="1">
      <alignment horizontal="center" vertical="center" wrapText="1"/>
    </xf>
    <xf numFmtId="169" fontId="25" fillId="34" borderId="94" xfId="0" applyNumberFormat="1" applyFont="1" applyFill="1" applyBorder="1" applyAlignment="1">
      <alignment horizontal="center" vertical="center" wrapText="1"/>
    </xf>
    <xf numFmtId="169" fontId="25" fillId="34" borderId="97" xfId="0" applyNumberFormat="1" applyFont="1" applyFill="1" applyBorder="1" applyAlignment="1">
      <alignment horizontal="center" vertical="center" wrapText="1"/>
    </xf>
    <xf numFmtId="169" fontId="28" fillId="45" borderId="167" xfId="0" applyNumberFormat="1" applyFont="1" applyFill="1" applyBorder="1" applyAlignment="1">
      <alignment horizontal="center" vertical="center" wrapText="1"/>
    </xf>
    <xf numFmtId="169" fontId="28" fillId="45" borderId="62" xfId="0" applyNumberFormat="1" applyFont="1" applyFill="1" applyBorder="1" applyAlignment="1">
      <alignment horizontal="center" vertical="center" wrapText="1"/>
    </xf>
    <xf numFmtId="169" fontId="19" fillId="34" borderId="64" xfId="0" applyNumberFormat="1" applyFont="1" applyFill="1" applyBorder="1" applyAlignment="1">
      <alignment horizontal="center" vertical="center" wrapText="1"/>
    </xf>
    <xf numFmtId="169" fontId="19" fillId="34" borderId="63" xfId="0" applyNumberFormat="1" applyFont="1" applyFill="1" applyBorder="1" applyAlignment="1">
      <alignment horizontal="center" vertical="center" wrapText="1"/>
    </xf>
    <xf numFmtId="169" fontId="19" fillId="34" borderId="24" xfId="0" applyNumberFormat="1" applyFont="1" applyFill="1" applyBorder="1" applyAlignment="1">
      <alignment horizontal="center" vertical="center" wrapText="1"/>
    </xf>
    <xf numFmtId="169" fontId="19" fillId="34" borderId="60" xfId="0" applyNumberFormat="1" applyFont="1" applyFill="1" applyBorder="1" applyAlignment="1">
      <alignment horizontal="center" vertical="center" wrapText="1"/>
    </xf>
    <xf numFmtId="169" fontId="19" fillId="34" borderId="120" xfId="0" applyNumberFormat="1" applyFont="1" applyFill="1" applyBorder="1" applyAlignment="1">
      <alignment horizontal="center" vertical="center" wrapText="1"/>
    </xf>
    <xf numFmtId="169" fontId="19" fillId="34" borderId="115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 vertical="center" indent="2"/>
    </xf>
    <xf numFmtId="0" fontId="14" fillId="15" borderId="162" xfId="0" applyFont="1" applyFill="1" applyBorder="1" applyAlignment="1">
      <alignment horizontal="center" vertical="center" wrapText="1"/>
    </xf>
    <xf numFmtId="0" fontId="14" fillId="15" borderId="163" xfId="0" applyFont="1" applyFill="1" applyBorder="1" applyAlignment="1">
      <alignment horizontal="center" vertical="center" wrapText="1"/>
    </xf>
    <xf numFmtId="0" fontId="23" fillId="44" borderId="183" xfId="0" applyFont="1" applyFill="1" applyBorder="1" applyAlignment="1">
      <alignment horizontal="center" vertical="center" wrapText="1"/>
    </xf>
    <xf numFmtId="0" fontId="23" fillId="44" borderId="118" xfId="0" applyFont="1" applyFill="1" applyBorder="1" applyAlignment="1">
      <alignment horizontal="center" vertical="center" wrapText="1"/>
    </xf>
    <xf numFmtId="0" fontId="23" fillId="44" borderId="184" xfId="0" applyFont="1" applyFill="1" applyBorder="1" applyAlignment="1">
      <alignment horizontal="center" vertical="center" wrapText="1"/>
    </xf>
    <xf numFmtId="0" fontId="23" fillId="0" borderId="113" xfId="0" applyFont="1" applyBorder="1" applyAlignment="1">
      <alignment horizontal="center" vertical="center" wrapText="1"/>
    </xf>
    <xf numFmtId="0" fontId="23" fillId="0" borderId="118" xfId="0" applyFont="1" applyBorder="1" applyAlignment="1">
      <alignment horizontal="center" vertical="center" wrapText="1"/>
    </xf>
    <xf numFmtId="0" fontId="23" fillId="0" borderId="48" xfId="0" applyFont="1" applyBorder="1" applyAlignment="1">
      <alignment horizontal="center" vertical="center" wrapText="1"/>
    </xf>
    <xf numFmtId="0" fontId="23" fillId="0" borderId="114" xfId="0" applyFont="1" applyBorder="1" applyAlignment="1">
      <alignment horizontal="center" vertical="center" wrapText="1"/>
    </xf>
    <xf numFmtId="0" fontId="24" fillId="13" borderId="131" xfId="0" applyFont="1" applyFill="1" applyBorder="1" applyAlignment="1" applyProtection="1">
      <alignment horizontal="center" vertical="center"/>
      <protection locked="0"/>
    </xf>
    <xf numFmtId="0" fontId="24" fillId="13" borderId="132" xfId="0" applyFont="1" applyFill="1" applyBorder="1" applyAlignment="1" applyProtection="1">
      <alignment horizontal="center" vertical="center"/>
      <protection locked="0"/>
    </xf>
    <xf numFmtId="169" fontId="25" fillId="34" borderId="238" xfId="0" applyNumberFormat="1" applyFont="1" applyFill="1" applyBorder="1" applyAlignment="1">
      <alignment horizontal="center" vertical="center" wrapText="1"/>
    </xf>
    <xf numFmtId="169" fontId="25" fillId="34" borderId="239" xfId="0" applyNumberFormat="1" applyFont="1" applyFill="1" applyBorder="1" applyAlignment="1">
      <alignment horizontal="center" vertical="center" wrapText="1"/>
    </xf>
    <xf numFmtId="169" fontId="25" fillId="34" borderId="204" xfId="0" applyNumberFormat="1" applyFont="1" applyFill="1" applyBorder="1" applyAlignment="1">
      <alignment horizontal="center" vertical="center" wrapText="1"/>
    </xf>
    <xf numFmtId="0" fontId="24" fillId="16" borderId="36" xfId="0" applyFont="1" applyFill="1" applyBorder="1" applyAlignment="1">
      <alignment horizontal="center" vertical="center" wrapText="1"/>
    </xf>
    <xf numFmtId="0" fontId="24" fillId="16" borderId="53" xfId="0" applyFont="1" applyFill="1" applyBorder="1" applyAlignment="1">
      <alignment horizontal="center" vertical="center" wrapText="1"/>
    </xf>
    <xf numFmtId="169" fontId="25" fillId="34" borderId="196" xfId="0" applyNumberFormat="1" applyFont="1" applyFill="1" applyBorder="1" applyAlignment="1">
      <alignment horizontal="center" vertical="center" wrapText="1"/>
    </xf>
    <xf numFmtId="169" fontId="25" fillId="34" borderId="197" xfId="0" applyNumberFormat="1" applyFont="1" applyFill="1" applyBorder="1" applyAlignment="1">
      <alignment horizontal="center" vertical="center" wrapText="1"/>
    </xf>
    <xf numFmtId="169" fontId="25" fillId="34" borderId="167" xfId="0" applyNumberFormat="1" applyFont="1" applyFill="1" applyBorder="1" applyAlignment="1">
      <alignment horizontal="center" vertical="center" wrapText="1"/>
    </xf>
    <xf numFmtId="0" fontId="26" fillId="11" borderId="0" xfId="0" applyFont="1" applyFill="1" applyAlignment="1">
      <alignment horizontal="left" vertical="center" indent="2"/>
    </xf>
    <xf numFmtId="0" fontId="24" fillId="15" borderId="26" xfId="0" applyFont="1" applyFill="1" applyBorder="1" applyAlignment="1">
      <alignment horizontal="center" vertical="center" wrapText="1"/>
    </xf>
    <xf numFmtId="0" fontId="24" fillId="15" borderId="51" xfId="0" applyFont="1" applyFill="1" applyBorder="1" applyAlignment="1">
      <alignment horizontal="center" vertical="center" wrapText="1"/>
    </xf>
    <xf numFmtId="0" fontId="24" fillId="16" borderId="205" xfId="0" applyFont="1" applyFill="1" applyBorder="1" applyAlignment="1">
      <alignment horizontal="center" vertical="center" wrapText="1"/>
    </xf>
    <xf numFmtId="0" fontId="24" fillId="16" borderId="19" xfId="0" applyFont="1" applyFill="1" applyBorder="1" applyAlignment="1">
      <alignment horizontal="center" vertical="center" wrapText="1"/>
    </xf>
    <xf numFmtId="0" fontId="24" fillId="15" borderId="133" xfId="0" applyFont="1" applyFill="1" applyBorder="1" applyAlignment="1">
      <alignment horizontal="center" vertical="center" wrapText="1"/>
    </xf>
    <xf numFmtId="0" fontId="24" fillId="15" borderId="117" xfId="0" applyFont="1" applyFill="1" applyBorder="1" applyAlignment="1">
      <alignment horizontal="center" vertical="center" wrapText="1"/>
    </xf>
    <xf numFmtId="0" fontId="23" fillId="46" borderId="133" xfId="0" applyFont="1" applyFill="1" applyBorder="1" applyAlignment="1">
      <alignment horizontal="center" vertical="center" wrapText="1"/>
    </xf>
    <xf numFmtId="0" fontId="23" fillId="46" borderId="115" xfId="0" applyFont="1" applyFill="1" applyBorder="1" applyAlignment="1">
      <alignment horizontal="center" vertical="center" wrapText="1"/>
    </xf>
    <xf numFmtId="0" fontId="23" fillId="46" borderId="135" xfId="0" applyFont="1" applyFill="1" applyBorder="1" applyAlignment="1">
      <alignment horizontal="center" vertical="center" wrapText="1"/>
    </xf>
    <xf numFmtId="169" fontId="25" fillId="34" borderId="161" xfId="0" applyNumberFormat="1" applyFont="1" applyFill="1" applyBorder="1" applyAlignment="1">
      <alignment horizontal="center" vertical="center" wrapText="1"/>
    </xf>
    <xf numFmtId="169" fontId="25" fillId="34" borderId="168" xfId="0" applyNumberFormat="1" applyFont="1" applyFill="1" applyBorder="1" applyAlignment="1">
      <alignment horizontal="center" vertical="center" wrapText="1"/>
    </xf>
    <xf numFmtId="169" fontId="25" fillId="34" borderId="199" xfId="0" applyNumberFormat="1" applyFont="1" applyFill="1" applyBorder="1" applyAlignment="1">
      <alignment horizontal="center" vertical="center" wrapText="1"/>
    </xf>
    <xf numFmtId="169" fontId="14" fillId="15" borderId="183" xfId="0" applyNumberFormat="1" applyFont="1" applyFill="1" applyBorder="1" applyAlignment="1">
      <alignment horizontal="center" vertical="center" wrapText="1"/>
    </xf>
    <xf numFmtId="169" fontId="14" fillId="15" borderId="203" xfId="0" applyNumberFormat="1" applyFont="1" applyFill="1" applyBorder="1" applyAlignment="1">
      <alignment horizontal="center" vertical="center" wrapText="1"/>
    </xf>
    <xf numFmtId="169" fontId="14" fillId="15" borderId="204" xfId="0" applyNumberFormat="1" applyFont="1" applyFill="1" applyBorder="1" applyAlignment="1">
      <alignment horizontal="center" vertical="center" wrapText="1"/>
    </xf>
    <xf numFmtId="0" fontId="23" fillId="46" borderId="113" xfId="0" applyFont="1" applyFill="1" applyBorder="1" applyAlignment="1">
      <alignment horizontal="center" vertical="center" wrapText="1"/>
    </xf>
    <xf numFmtId="0" fontId="23" fillId="46" borderId="118" xfId="0" applyFont="1" applyFill="1" applyBorder="1" applyAlignment="1">
      <alignment horizontal="center" vertical="center" wrapText="1"/>
    </xf>
    <xf numFmtId="0" fontId="23" fillId="46" borderId="11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44" fillId="53" borderId="195" xfId="0" applyFont="1" applyFill="1" applyBorder="1" applyAlignment="1">
      <alignment horizontal="center" vertical="center" wrapText="1"/>
    </xf>
    <xf numFmtId="0" fontId="44" fillId="53" borderId="215" xfId="0" applyFont="1" applyFill="1" applyBorder="1" applyAlignment="1">
      <alignment horizontal="center" vertical="center" wrapText="1"/>
    </xf>
    <xf numFmtId="0" fontId="45" fillId="37" borderId="179" xfId="0" applyFont="1" applyFill="1" applyBorder="1" applyAlignment="1">
      <alignment horizontal="center" vertical="center"/>
    </xf>
    <xf numFmtId="0" fontId="45" fillId="37" borderId="157" xfId="0" applyFont="1" applyFill="1" applyBorder="1" applyAlignment="1">
      <alignment horizontal="center" vertical="center"/>
    </xf>
    <xf numFmtId="175" fontId="25" fillId="30" borderId="19" xfId="12" applyNumberFormat="1" applyFont="1" applyFill="1" applyBorder="1" applyAlignment="1">
      <alignment horizontal="right" vertical="center" wrapText="1"/>
    </xf>
    <xf numFmtId="175" fontId="25" fillId="30" borderId="25" xfId="12" applyNumberFormat="1" applyFont="1" applyFill="1" applyBorder="1" applyAlignment="1">
      <alignment horizontal="right" vertical="center" wrapText="1"/>
    </xf>
    <xf numFmtId="167" fontId="14" fillId="18" borderId="190" xfId="13" applyFont="1" applyFill="1" applyBorder="1" applyAlignment="1">
      <alignment horizontal="center" vertical="center" wrapText="1"/>
    </xf>
    <xf numFmtId="167" fontId="14" fillId="18" borderId="63" xfId="13" applyFont="1" applyFill="1" applyBorder="1" applyAlignment="1">
      <alignment horizontal="center" vertical="center" wrapText="1"/>
    </xf>
    <xf numFmtId="0" fontId="12" fillId="17" borderId="16" xfId="0" applyFont="1" applyFill="1" applyBorder="1" applyAlignment="1">
      <alignment horizontal="left" vertical="center"/>
    </xf>
    <xf numFmtId="0" fontId="12" fillId="17" borderId="14" xfId="0" applyFont="1" applyFill="1" applyBorder="1" applyAlignment="1">
      <alignment horizontal="left" vertical="center"/>
    </xf>
    <xf numFmtId="0" fontId="24" fillId="0" borderId="200" xfId="0" applyFont="1" applyBorder="1" applyAlignment="1">
      <alignment horizontal="center" vertical="center" wrapText="1"/>
    </xf>
    <xf numFmtId="0" fontId="12" fillId="16" borderId="60" xfId="0" applyFont="1" applyFill="1" applyBorder="1" applyAlignment="1">
      <alignment horizontal="center" vertical="center"/>
    </xf>
    <xf numFmtId="0" fontId="12" fillId="16" borderId="5" xfId="0" applyFont="1" applyFill="1" applyBorder="1" applyAlignment="1">
      <alignment horizontal="center" vertical="center"/>
    </xf>
    <xf numFmtId="0" fontId="14" fillId="17" borderId="186" xfId="0" applyFont="1" applyFill="1" applyBorder="1" applyAlignment="1">
      <alignment horizontal="center" vertical="center"/>
    </xf>
    <xf numFmtId="0" fontId="14" fillId="17" borderId="221" xfId="0" applyFont="1" applyFill="1" applyBorder="1" applyAlignment="1">
      <alignment horizontal="center" vertical="center"/>
    </xf>
    <xf numFmtId="0" fontId="12" fillId="15" borderId="189" xfId="0" applyFont="1" applyFill="1" applyBorder="1" applyAlignment="1">
      <alignment horizontal="center" vertical="center"/>
    </xf>
    <xf numFmtId="0" fontId="12" fillId="15" borderId="144" xfId="0" applyFont="1" applyFill="1" applyBorder="1" applyAlignment="1">
      <alignment horizontal="center" vertical="center"/>
    </xf>
    <xf numFmtId="0" fontId="12" fillId="16" borderId="200" xfId="0" applyFont="1" applyFill="1" applyBorder="1" applyAlignment="1">
      <alignment horizontal="center" vertical="center" wrapText="1"/>
    </xf>
    <xf numFmtId="0" fontId="12" fillId="17" borderId="200" xfId="0" applyFont="1" applyFill="1" applyBorder="1" applyAlignment="1">
      <alignment horizontal="center" vertical="center"/>
    </xf>
    <xf numFmtId="0" fontId="24" fillId="12" borderId="31" xfId="0" applyFont="1" applyFill="1" applyBorder="1" applyAlignment="1">
      <alignment horizontal="center" vertical="center"/>
    </xf>
    <xf numFmtId="0" fontId="24" fillId="12" borderId="21" xfId="0" applyFont="1" applyFill="1" applyBorder="1" applyAlignment="1">
      <alignment horizontal="center" vertical="center"/>
    </xf>
    <xf numFmtId="0" fontId="14" fillId="17" borderId="8" xfId="0" applyFont="1" applyFill="1" applyBorder="1" applyAlignment="1">
      <alignment horizontal="center" vertical="center"/>
    </xf>
    <xf numFmtId="0" fontId="14" fillId="17" borderId="13" xfId="0" applyFont="1" applyFill="1" applyBorder="1" applyAlignment="1">
      <alignment horizontal="center" vertical="center"/>
    </xf>
    <xf numFmtId="0" fontId="12" fillId="16" borderId="8" xfId="0" applyFont="1" applyFill="1" applyBorder="1" applyAlignment="1">
      <alignment horizontal="center" vertical="center"/>
    </xf>
    <xf numFmtId="0" fontId="12" fillId="17" borderId="106" xfId="0" applyFont="1" applyFill="1" applyBorder="1" applyAlignment="1">
      <alignment horizontal="center" vertical="center"/>
    </xf>
    <xf numFmtId="0" fontId="12" fillId="16" borderId="106" xfId="0" applyFont="1" applyFill="1" applyBorder="1" applyAlignment="1">
      <alignment horizontal="center" vertical="center" wrapText="1"/>
    </xf>
    <xf numFmtId="167" fontId="14" fillId="18" borderId="138" xfId="13" applyFont="1" applyFill="1" applyBorder="1" applyAlignment="1">
      <alignment horizontal="center" vertical="center" wrapText="1"/>
    </xf>
    <xf numFmtId="0" fontId="12" fillId="15" borderId="103" xfId="0" applyFont="1" applyFill="1" applyBorder="1" applyAlignment="1">
      <alignment horizontal="center" vertical="center"/>
    </xf>
    <xf numFmtId="178" fontId="0" fillId="26" borderId="113" xfId="0" applyNumberFormat="1" applyFill="1" applyBorder="1" applyAlignment="1">
      <alignment horizontal="center" vertical="center"/>
    </xf>
    <xf numFmtId="178" fontId="0" fillId="26" borderId="84" xfId="0" applyNumberFormat="1" applyFill="1" applyBorder="1" applyAlignment="1">
      <alignment horizontal="center" vertical="center"/>
    </xf>
    <xf numFmtId="0" fontId="11" fillId="48" borderId="114" xfId="0" applyFont="1" applyFill="1" applyBorder="1" applyAlignment="1">
      <alignment horizontal="center" vertical="center"/>
    </xf>
    <xf numFmtId="0" fontId="11" fillId="48" borderId="124" xfId="0" applyFont="1" applyFill="1" applyBorder="1" applyAlignment="1">
      <alignment horizontal="center" vertical="center"/>
    </xf>
    <xf numFmtId="0" fontId="11" fillId="47" borderId="114" xfId="0" applyFont="1" applyFill="1" applyBorder="1" applyAlignment="1">
      <alignment horizontal="center" vertical="center"/>
    </xf>
    <xf numFmtId="0" fontId="11" fillId="47" borderId="124" xfId="0" applyFont="1" applyFill="1" applyBorder="1" applyAlignment="1">
      <alignment horizontal="center" vertical="center"/>
    </xf>
    <xf numFmtId="178" fontId="0" fillId="26" borderId="85" xfId="0" applyNumberFormat="1" applyFill="1" applyBorder="1" applyAlignment="1">
      <alignment horizontal="center" vertical="center"/>
    </xf>
    <xf numFmtId="0" fontId="14" fillId="16" borderId="182" xfId="0" applyFont="1" applyFill="1" applyBorder="1" applyAlignment="1">
      <alignment horizontal="center" vertical="center" wrapText="1"/>
    </xf>
    <xf numFmtId="0" fontId="14" fillId="16" borderId="52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12" fillId="16" borderId="69" xfId="0" applyFont="1" applyFill="1" applyBorder="1" applyAlignment="1">
      <alignment horizontal="center" vertical="center" wrapText="1"/>
    </xf>
    <xf numFmtId="0" fontId="19" fillId="48" borderId="113" xfId="0" applyFont="1" applyFill="1" applyBorder="1" applyAlignment="1">
      <alignment horizontal="center" vertical="center"/>
    </xf>
    <xf numFmtId="0" fontId="19" fillId="48" borderId="84" xfId="0" applyFont="1" applyFill="1" applyBorder="1" applyAlignment="1">
      <alignment horizontal="center" vertical="center"/>
    </xf>
    <xf numFmtId="0" fontId="19" fillId="47" borderId="113" xfId="0" applyFont="1" applyFill="1" applyBorder="1" applyAlignment="1">
      <alignment horizontal="center" vertical="center"/>
    </xf>
    <xf numFmtId="0" fontId="19" fillId="47" borderId="84" xfId="0" applyFont="1" applyFill="1" applyBorder="1" applyAlignment="1">
      <alignment horizontal="center" vertical="center"/>
    </xf>
    <xf numFmtId="0" fontId="11" fillId="14" borderId="114" xfId="0" applyFont="1" applyFill="1" applyBorder="1" applyAlignment="1">
      <alignment horizontal="center" vertical="center"/>
    </xf>
    <xf numFmtId="0" fontId="11" fillId="14" borderId="124" xfId="0" applyFont="1" applyFill="1" applyBorder="1" applyAlignment="1">
      <alignment horizontal="center" vertical="center"/>
    </xf>
    <xf numFmtId="0" fontId="19" fillId="14" borderId="83" xfId="0" applyFont="1" applyFill="1" applyBorder="1" applyAlignment="1">
      <alignment horizontal="center" vertical="center"/>
    </xf>
    <xf numFmtId="0" fontId="19" fillId="14" borderId="73" xfId="0" applyFont="1" applyFill="1" applyBorder="1" applyAlignment="1">
      <alignment horizontal="center" vertical="center"/>
    </xf>
    <xf numFmtId="0" fontId="19" fillId="48" borderId="83" xfId="0" applyFont="1" applyFill="1" applyBorder="1" applyAlignment="1">
      <alignment horizontal="center" vertical="center"/>
    </xf>
    <xf numFmtId="0" fontId="19" fillId="48" borderId="105" xfId="0" applyFont="1" applyFill="1" applyBorder="1" applyAlignment="1">
      <alignment horizontal="center" vertical="center"/>
    </xf>
    <xf numFmtId="0" fontId="19" fillId="47" borderId="85" xfId="0" applyFont="1" applyFill="1" applyBorder="1" applyAlignment="1">
      <alignment horizontal="center" vertical="center"/>
    </xf>
    <xf numFmtId="0" fontId="19" fillId="47" borderId="105" xfId="0" applyFont="1" applyFill="1" applyBorder="1" applyAlignment="1">
      <alignment horizontal="center" vertical="center"/>
    </xf>
    <xf numFmtId="0" fontId="19" fillId="14" borderId="113" xfId="0" applyFont="1" applyFill="1" applyBorder="1" applyAlignment="1">
      <alignment horizontal="center" vertical="center"/>
    </xf>
    <xf numFmtId="0" fontId="19" fillId="14" borderId="84" xfId="0" applyFont="1" applyFill="1" applyBorder="1" applyAlignment="1">
      <alignment horizontal="center" vertical="center"/>
    </xf>
    <xf numFmtId="0" fontId="24" fillId="47" borderId="72" xfId="0" applyFont="1" applyFill="1" applyBorder="1" applyAlignment="1">
      <alignment horizontal="center" vertical="center" textRotation="90" wrapText="1"/>
    </xf>
    <xf numFmtId="0" fontId="24" fillId="47" borderId="74" xfId="0" applyFont="1" applyFill="1" applyBorder="1" applyAlignment="1">
      <alignment horizontal="center" vertical="center" textRotation="90" wrapText="1"/>
    </xf>
    <xf numFmtId="0" fontId="24" fillId="47" borderId="52" xfId="0" applyFont="1" applyFill="1" applyBorder="1" applyAlignment="1">
      <alignment horizontal="center" vertical="center" textRotation="90" wrapText="1"/>
    </xf>
    <xf numFmtId="0" fontId="24" fillId="47" borderId="72" xfId="0" applyFont="1" applyFill="1" applyBorder="1" applyAlignment="1">
      <alignment horizontal="left" vertical="center" wrapText="1"/>
    </xf>
    <xf numFmtId="0" fontId="24" fillId="47" borderId="74" xfId="0" applyFont="1" applyFill="1" applyBorder="1" applyAlignment="1">
      <alignment horizontal="left" vertical="center" wrapText="1"/>
    </xf>
    <xf numFmtId="0" fontId="24" fillId="47" borderId="52" xfId="0" applyFont="1" applyFill="1" applyBorder="1" applyAlignment="1">
      <alignment horizontal="left" vertical="center" wrapText="1"/>
    </xf>
    <xf numFmtId="0" fontId="27" fillId="47" borderId="77" xfId="0" applyFont="1" applyFill="1" applyBorder="1" applyAlignment="1">
      <alignment horizontal="center" vertical="center" textRotation="90" wrapText="1"/>
    </xf>
    <xf numFmtId="0" fontId="27" fillId="47" borderId="65" xfId="0" applyFont="1" applyFill="1" applyBorder="1" applyAlignment="1">
      <alignment horizontal="center" vertical="center" textRotation="90" wrapText="1"/>
    </xf>
    <xf numFmtId="0" fontId="27" fillId="47" borderId="61" xfId="0" applyFont="1" applyFill="1" applyBorder="1" applyAlignment="1">
      <alignment horizontal="center" vertical="center" textRotation="90" wrapText="1"/>
    </xf>
    <xf numFmtId="0" fontId="24" fillId="12" borderId="78" xfId="0" applyFont="1" applyFill="1" applyBorder="1" applyAlignment="1" applyProtection="1">
      <alignment horizontal="left" vertical="center" wrapText="1"/>
      <protection locked="0"/>
    </xf>
    <xf numFmtId="0" fontId="24" fillId="12" borderId="79" xfId="0" applyFont="1" applyFill="1" applyBorder="1" applyAlignment="1" applyProtection="1">
      <alignment horizontal="left" vertical="center" wrapText="1"/>
      <protection locked="0"/>
    </xf>
    <xf numFmtId="0" fontId="24" fillId="12" borderId="76" xfId="0" applyFont="1" applyFill="1" applyBorder="1" applyAlignment="1" applyProtection="1">
      <alignment horizontal="left" vertical="center" wrapText="1"/>
      <protection locked="0"/>
    </xf>
    <xf numFmtId="0" fontId="24" fillId="12" borderId="72" xfId="0" applyFont="1" applyFill="1" applyBorder="1" applyAlignment="1" applyProtection="1">
      <alignment horizontal="left" vertical="center" wrapText="1"/>
      <protection locked="0"/>
    </xf>
    <xf numFmtId="0" fontId="24" fillId="12" borderId="115" xfId="0" applyFont="1" applyFill="1" applyBorder="1" applyAlignment="1" applyProtection="1">
      <alignment horizontal="left" vertical="center" wrapText="1"/>
      <protection locked="0"/>
    </xf>
    <xf numFmtId="0" fontId="24" fillId="12" borderId="74" xfId="0" applyFont="1" applyFill="1" applyBorder="1" applyAlignment="1" applyProtection="1">
      <alignment horizontal="left" vertical="center" wrapText="1"/>
      <protection locked="0"/>
    </xf>
    <xf numFmtId="0" fontId="24" fillId="12" borderId="52" xfId="0" applyFont="1" applyFill="1" applyBorder="1" applyAlignment="1" applyProtection="1">
      <alignment horizontal="left" vertical="center" wrapText="1"/>
      <protection locked="0"/>
    </xf>
    <xf numFmtId="0" fontId="26" fillId="0" borderId="0" xfId="0" applyFont="1" applyAlignment="1">
      <alignment horizontal="center" vertical="center"/>
    </xf>
    <xf numFmtId="0" fontId="14" fillId="17" borderId="23" xfId="0" applyFont="1" applyFill="1" applyBorder="1" applyAlignment="1">
      <alignment horizontal="center" vertical="center" wrapText="1"/>
    </xf>
    <xf numFmtId="0" fontId="14" fillId="17" borderId="88" xfId="0" applyFont="1" applyFill="1" applyBorder="1" applyAlignment="1">
      <alignment horizontal="center" vertical="center" wrapText="1"/>
    </xf>
    <xf numFmtId="0" fontId="12" fillId="15" borderId="23" xfId="0" applyFont="1" applyFill="1" applyBorder="1" applyAlignment="1">
      <alignment horizontal="center" vertical="center" wrapText="1"/>
    </xf>
    <xf numFmtId="0" fontId="12" fillId="15" borderId="88" xfId="0" applyFont="1" applyFill="1" applyBorder="1" applyAlignment="1">
      <alignment horizontal="center" vertical="center" wrapText="1"/>
    </xf>
    <xf numFmtId="0" fontId="14" fillId="26" borderId="47" xfId="0" applyFont="1" applyFill="1" applyBorder="1" applyAlignment="1">
      <alignment horizontal="center" vertical="center" wrapText="1"/>
    </xf>
    <xf numFmtId="0" fontId="14" fillId="26" borderId="74" xfId="0" applyFont="1" applyFill="1" applyBorder="1" applyAlignment="1">
      <alignment horizontal="center" vertical="center" wrapText="1"/>
    </xf>
    <xf numFmtId="0" fontId="19" fillId="14" borderId="121" xfId="0" applyFont="1" applyFill="1" applyBorder="1" applyAlignment="1">
      <alignment horizontal="center" vertical="center"/>
    </xf>
    <xf numFmtId="0" fontId="19" fillId="47" borderId="121" xfId="0" applyFont="1" applyFill="1" applyBorder="1" applyAlignment="1">
      <alignment horizontal="center" vertical="center"/>
    </xf>
    <xf numFmtId="0" fontId="19" fillId="47" borderId="205" xfId="0" applyFont="1" applyFill="1" applyBorder="1" applyAlignment="1">
      <alignment horizontal="center" vertical="center"/>
    </xf>
    <xf numFmtId="0" fontId="14" fillId="16" borderId="40" xfId="0" applyFont="1" applyFill="1" applyBorder="1" applyAlignment="1">
      <alignment horizontal="center" vertical="center" wrapText="1"/>
    </xf>
    <xf numFmtId="0" fontId="14" fillId="16" borderId="44" xfId="0" applyFont="1" applyFill="1" applyBorder="1" applyAlignment="1">
      <alignment horizontal="center" vertical="center" wrapText="1"/>
    </xf>
    <xf numFmtId="0" fontId="14" fillId="16" borderId="48" xfId="0" applyFont="1" applyFill="1" applyBorder="1" applyAlignment="1">
      <alignment horizontal="center" vertical="center" wrapText="1"/>
    </xf>
    <xf numFmtId="0" fontId="14" fillId="16" borderId="49" xfId="0" applyFont="1" applyFill="1" applyBorder="1" applyAlignment="1">
      <alignment horizontal="center" vertical="center" wrapText="1"/>
    </xf>
    <xf numFmtId="0" fontId="14" fillId="16" borderId="37" xfId="0" applyFont="1" applyFill="1" applyBorder="1" applyAlignment="1">
      <alignment horizontal="center" vertical="center"/>
    </xf>
    <xf numFmtId="0" fontId="14" fillId="16" borderId="7" xfId="0" applyFont="1" applyFill="1" applyBorder="1" applyAlignment="1">
      <alignment horizontal="center" vertical="center"/>
    </xf>
    <xf numFmtId="0" fontId="14" fillId="16" borderId="37" xfId="0" applyFont="1" applyFill="1" applyBorder="1" applyAlignment="1">
      <alignment horizontal="center" vertical="center" wrapText="1"/>
    </xf>
    <xf numFmtId="0" fontId="14" fillId="16" borderId="7" xfId="0" applyFont="1" applyFill="1" applyBorder="1" applyAlignment="1">
      <alignment horizontal="center" vertical="center" wrapText="1"/>
    </xf>
    <xf numFmtId="0" fontId="23" fillId="16" borderId="38" xfId="0" applyFont="1" applyFill="1" applyBorder="1" applyAlignment="1">
      <alignment horizontal="center" vertical="center" wrapText="1"/>
    </xf>
    <xf numFmtId="0" fontId="23" fillId="16" borderId="45" xfId="0" applyFont="1" applyFill="1" applyBorder="1" applyAlignment="1">
      <alignment horizontal="center" vertical="center" wrapText="1"/>
    </xf>
    <xf numFmtId="0" fontId="23" fillId="16" borderId="4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4" fillId="44" borderId="183" xfId="0" applyFont="1" applyFill="1" applyBorder="1" applyAlignment="1">
      <alignment horizontal="left" vertical="center" wrapText="1"/>
    </xf>
    <xf numFmtId="0" fontId="24" fillId="44" borderId="118" xfId="0" applyFont="1" applyFill="1" applyBorder="1" applyAlignment="1">
      <alignment horizontal="left" vertical="center" wrapText="1"/>
    </xf>
    <xf numFmtId="0" fontId="24" fillId="44" borderId="184" xfId="0" applyFont="1" applyFill="1" applyBorder="1" applyAlignment="1">
      <alignment horizontal="left" vertical="center" wrapText="1"/>
    </xf>
    <xf numFmtId="0" fontId="24" fillId="0" borderId="183" xfId="0" applyFont="1" applyBorder="1" applyAlignment="1">
      <alignment horizontal="left" vertical="center" wrapText="1"/>
    </xf>
    <xf numFmtId="0" fontId="24" fillId="0" borderId="118" xfId="0" applyFont="1" applyBorder="1" applyAlignment="1">
      <alignment horizontal="left" vertical="center" wrapText="1"/>
    </xf>
    <xf numFmtId="0" fontId="24" fillId="0" borderId="184" xfId="0" applyFont="1" applyBorder="1" applyAlignment="1">
      <alignment horizontal="left" vertical="center" wrapText="1"/>
    </xf>
    <xf numFmtId="0" fontId="24" fillId="16" borderId="211" xfId="0" applyFont="1" applyFill="1" applyBorder="1" applyAlignment="1">
      <alignment horizontal="center" vertical="center"/>
    </xf>
    <xf numFmtId="0" fontId="24" fillId="16" borderId="212" xfId="0" applyFont="1" applyFill="1" applyBorder="1" applyAlignment="1">
      <alignment horizontal="center" vertical="center"/>
    </xf>
    <xf numFmtId="0" fontId="24" fillId="12" borderId="11" xfId="0" applyFont="1" applyFill="1" applyBorder="1" applyAlignment="1" applyProtection="1">
      <alignment horizontal="center" vertical="center"/>
      <protection locked="0"/>
    </xf>
    <xf numFmtId="0" fontId="24" fillId="12" borderId="12" xfId="0" applyFont="1" applyFill="1" applyBorder="1" applyAlignment="1" applyProtection="1">
      <alignment horizontal="center" vertical="center"/>
      <protection locked="0"/>
    </xf>
    <xf numFmtId="169" fontId="24" fillId="17" borderId="209" xfId="0" applyNumberFormat="1" applyFont="1" applyFill="1" applyBorder="1" applyAlignment="1">
      <alignment horizontal="center" vertical="center" wrapText="1"/>
    </xf>
    <xf numFmtId="169" fontId="24" fillId="17" borderId="197" xfId="0" applyNumberFormat="1" applyFont="1" applyFill="1" applyBorder="1" applyAlignment="1">
      <alignment horizontal="center" vertical="center" wrapText="1"/>
    </xf>
    <xf numFmtId="169" fontId="24" fillId="17" borderId="210" xfId="0" applyNumberFormat="1" applyFont="1" applyFill="1" applyBorder="1" applyAlignment="1">
      <alignment horizontal="center" vertical="center" wrapText="1"/>
    </xf>
    <xf numFmtId="0" fontId="14" fillId="15" borderId="78" xfId="0" applyFont="1" applyFill="1" applyBorder="1" applyAlignment="1">
      <alignment horizontal="center" vertical="center" wrapText="1"/>
    </xf>
    <xf numFmtId="0" fontId="14" fillId="15" borderId="80" xfId="0" applyFont="1" applyFill="1" applyBorder="1" applyAlignment="1">
      <alignment horizontal="center" vertical="center" wrapText="1"/>
    </xf>
    <xf numFmtId="0" fontId="14" fillId="15" borderId="84" xfId="0" applyFont="1" applyFill="1" applyBorder="1" applyAlignment="1">
      <alignment horizontal="center" vertical="center" wrapText="1"/>
    </xf>
    <xf numFmtId="0" fontId="14" fillId="15" borderId="43" xfId="0" applyFont="1" applyFill="1" applyBorder="1" applyAlignment="1">
      <alignment horizontal="center" vertical="center" wrapText="1"/>
    </xf>
    <xf numFmtId="0" fontId="24" fillId="11" borderId="133" xfId="0" applyFont="1" applyFill="1" applyBorder="1" applyAlignment="1">
      <alignment horizontal="center" vertical="center" wrapText="1"/>
    </xf>
    <xf numFmtId="0" fontId="24" fillId="11" borderId="134" xfId="0" applyFont="1" applyFill="1" applyBorder="1" applyAlignment="1">
      <alignment horizontal="center" vertical="center" wrapText="1"/>
    </xf>
    <xf numFmtId="0" fontId="24" fillId="11" borderId="135" xfId="0" applyFont="1" applyFill="1" applyBorder="1" applyAlignment="1">
      <alignment horizontal="center" vertical="center" wrapText="1"/>
    </xf>
    <xf numFmtId="178" fontId="24" fillId="29" borderId="252" xfId="0" applyNumberFormat="1" applyFont="1" applyFill="1" applyBorder="1" applyAlignment="1">
      <alignment horizontal="right" vertical="center"/>
    </xf>
    <xf numFmtId="178" fontId="24" fillId="29" borderId="251" xfId="0" applyNumberFormat="1" applyFont="1" applyFill="1" applyBorder="1" applyAlignment="1">
      <alignment horizontal="right" vertical="center"/>
    </xf>
    <xf numFmtId="178" fontId="24" fillId="29" borderId="124" xfId="0" applyNumberFormat="1" applyFont="1" applyFill="1" applyBorder="1" applyAlignment="1">
      <alignment horizontal="right" vertical="center"/>
    </xf>
    <xf numFmtId="0" fontId="14" fillId="27" borderId="133" xfId="0" applyFont="1" applyFill="1" applyBorder="1" applyAlignment="1">
      <alignment horizontal="center" vertical="center" wrapText="1"/>
    </xf>
    <xf numFmtId="0" fontId="14" fillId="27" borderId="80" xfId="0" applyFont="1" applyFill="1" applyBorder="1" applyAlignment="1">
      <alignment horizontal="center" vertical="center" wrapText="1"/>
    </xf>
    <xf numFmtId="0" fontId="14" fillId="27" borderId="252" xfId="0" applyFont="1" applyFill="1" applyBorder="1" applyAlignment="1">
      <alignment horizontal="center" vertical="center" wrapText="1"/>
    </xf>
    <xf numFmtId="0" fontId="14" fillId="27" borderId="254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4" fillId="16" borderId="217" xfId="0" applyFont="1" applyFill="1" applyBorder="1" applyAlignment="1">
      <alignment horizontal="center" vertical="center" wrapText="1"/>
    </xf>
    <xf numFmtId="0" fontId="14" fillId="16" borderId="234" xfId="0" applyFont="1" applyFill="1" applyBorder="1" applyAlignment="1">
      <alignment horizontal="center" vertical="center" wrapText="1"/>
    </xf>
    <xf numFmtId="0" fontId="23" fillId="16" borderId="253" xfId="0" applyFont="1" applyFill="1" applyBorder="1" applyAlignment="1">
      <alignment horizontal="center" vertical="center" wrapText="1"/>
    </xf>
    <xf numFmtId="0" fontId="14" fillId="16" borderId="133" xfId="0" applyFont="1" applyFill="1" applyBorder="1" applyAlignment="1">
      <alignment horizontal="center" vertical="center" wrapText="1"/>
    </xf>
    <xf numFmtId="0" fontId="14" fillId="16" borderId="80" xfId="0" applyFont="1" applyFill="1" applyBorder="1" applyAlignment="1">
      <alignment horizontal="center" vertical="center" wrapText="1"/>
    </xf>
    <xf numFmtId="0" fontId="14" fillId="16" borderId="216" xfId="0" applyFont="1" applyFill="1" applyBorder="1" applyAlignment="1">
      <alignment horizontal="center" vertical="center"/>
    </xf>
    <xf numFmtId="0" fontId="14" fillId="16" borderId="233" xfId="0" applyFont="1" applyFill="1" applyBorder="1" applyAlignment="1">
      <alignment horizontal="center" vertical="center"/>
    </xf>
    <xf numFmtId="0" fontId="14" fillId="16" borderId="217" xfId="0" applyFont="1" applyFill="1" applyBorder="1" applyAlignment="1">
      <alignment horizontal="center" vertical="center"/>
    </xf>
    <xf numFmtId="0" fontId="14" fillId="16" borderId="234" xfId="0" applyFont="1" applyFill="1" applyBorder="1" applyAlignment="1">
      <alignment horizontal="center" vertical="center"/>
    </xf>
    <xf numFmtId="0" fontId="40" fillId="0" borderId="0" xfId="0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wrapText="1"/>
      <protection locked="0"/>
    </xf>
    <xf numFmtId="0" fontId="47" fillId="12" borderId="11" xfId="0" applyFont="1" applyFill="1" applyBorder="1" applyAlignment="1" applyProtection="1">
      <alignment horizontal="center" vertical="center"/>
      <protection locked="0"/>
    </xf>
    <xf numFmtId="0" fontId="47" fillId="12" borderId="12" xfId="0" applyFont="1" applyFill="1" applyBorder="1" applyAlignment="1" applyProtection="1">
      <alignment horizontal="center" vertical="center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23" fillId="0" borderId="200" xfId="0" applyFont="1" applyBorder="1" applyAlignment="1" applyProtection="1">
      <alignment horizontal="center" wrapText="1"/>
      <protection locked="0"/>
    </xf>
    <xf numFmtId="0" fontId="0" fillId="0" borderId="157" xfId="0" applyBorder="1" applyAlignment="1" applyProtection="1">
      <alignment horizontal="left" vertical="top" wrapText="1"/>
      <protection locked="0"/>
    </xf>
    <xf numFmtId="0" fontId="0" fillId="0" borderId="200" xfId="0" applyBorder="1" applyAlignment="1" applyProtection="1">
      <alignment horizontal="left" vertical="top" wrapText="1"/>
      <protection locked="0"/>
    </xf>
    <xf numFmtId="0" fontId="50" fillId="0" borderId="200" xfId="0" applyFont="1" applyBorder="1" applyAlignment="1" applyProtection="1">
      <alignment horizontal="left" vertical="top" wrapText="1"/>
      <protection locked="0"/>
    </xf>
    <xf numFmtId="0" fontId="0" fillId="0" borderId="273" xfId="0" applyBorder="1" applyAlignment="1" applyProtection="1">
      <alignment horizontal="center" vertical="top"/>
      <protection locked="0"/>
    </xf>
    <xf numFmtId="0" fontId="0" fillId="0" borderId="275" xfId="0" applyBorder="1" applyAlignment="1" applyProtection="1">
      <alignment horizontal="center" vertical="top"/>
      <protection locked="0"/>
    </xf>
    <xf numFmtId="0" fontId="0" fillId="0" borderId="274" xfId="0" applyBorder="1" applyAlignment="1" applyProtection="1">
      <alignment horizontal="center" vertical="top"/>
      <protection locked="0"/>
    </xf>
    <xf numFmtId="0" fontId="0" fillId="0" borderId="246" xfId="0" applyBorder="1" applyAlignment="1" applyProtection="1">
      <alignment horizontal="center" vertical="top"/>
      <protection locked="0"/>
    </xf>
    <xf numFmtId="0" fontId="0" fillId="0" borderId="247" xfId="0" applyBorder="1" applyAlignment="1" applyProtection="1">
      <alignment horizontal="center" vertical="top"/>
      <protection locked="0"/>
    </xf>
    <xf numFmtId="0" fontId="0" fillId="0" borderId="215" xfId="0" applyBorder="1" applyAlignment="1" applyProtection="1">
      <alignment horizontal="center" vertical="top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36" fillId="0" borderId="0" xfId="0" applyFont="1" applyAlignment="1" applyProtection="1">
      <alignment horizontal="left"/>
      <protection locked="0"/>
    </xf>
    <xf numFmtId="0" fontId="36" fillId="0" borderId="0" xfId="0" applyFont="1" applyAlignment="1" applyProtection="1">
      <alignment horizontal="left" vertical="center" wrapText="1"/>
      <protection locked="0"/>
    </xf>
    <xf numFmtId="0" fontId="37" fillId="0" borderId="0" xfId="0" applyFont="1" applyAlignment="1" applyProtection="1">
      <alignment horizontal="left" vertical="center" wrapText="1"/>
      <protection locked="0"/>
    </xf>
    <xf numFmtId="0" fontId="23" fillId="0" borderId="139" xfId="0" applyFont="1" applyBorder="1" applyAlignment="1">
      <alignment horizontal="center" vertical="center" wrapText="1"/>
    </xf>
    <xf numFmtId="0" fontId="23" fillId="0" borderId="250" xfId="0" applyFont="1" applyBorder="1" applyAlignment="1">
      <alignment horizontal="center" vertical="center" wrapText="1"/>
    </xf>
    <xf numFmtId="0" fontId="23" fillId="0" borderId="170" xfId="0" applyFont="1" applyBorder="1" applyAlignment="1">
      <alignment horizontal="center" vertical="center" wrapText="1"/>
    </xf>
    <xf numFmtId="0" fontId="23" fillId="0" borderId="175" xfId="0" applyFont="1" applyBorder="1" applyAlignment="1">
      <alignment horizontal="center" vertical="center" wrapText="1"/>
    </xf>
    <xf numFmtId="0" fontId="14" fillId="16" borderId="100" xfId="0" applyFont="1" applyFill="1" applyBorder="1" applyAlignment="1">
      <alignment horizontal="center" vertical="center" wrapText="1"/>
    </xf>
    <xf numFmtId="0" fontId="14" fillId="16" borderId="101" xfId="0" applyFont="1" applyFill="1" applyBorder="1" applyAlignment="1">
      <alignment horizontal="center" vertical="center" wrapText="1"/>
    </xf>
    <xf numFmtId="0" fontId="24" fillId="12" borderId="9" xfId="0" applyFont="1" applyFill="1" applyBorder="1" applyAlignment="1" applyProtection="1">
      <alignment horizontal="center" vertical="center"/>
      <protection locked="0"/>
    </xf>
    <xf numFmtId="0" fontId="24" fillId="12" borderId="10" xfId="0" applyFont="1" applyFill="1" applyBorder="1" applyAlignment="1" applyProtection="1">
      <alignment horizontal="center" vertical="center"/>
      <protection locked="0"/>
    </xf>
    <xf numFmtId="0" fontId="14" fillId="16" borderId="137" xfId="0" applyFont="1" applyFill="1" applyBorder="1" applyAlignment="1">
      <alignment horizontal="center" vertical="center"/>
    </xf>
    <xf numFmtId="0" fontId="14" fillId="16" borderId="99" xfId="0" applyFont="1" applyFill="1" applyBorder="1" applyAlignment="1">
      <alignment horizontal="center" vertical="center"/>
    </xf>
    <xf numFmtId="0" fontId="24" fillId="15" borderId="92" xfId="0" applyFont="1" applyFill="1" applyBorder="1" applyAlignment="1">
      <alignment horizontal="center" vertical="center" wrapText="1"/>
    </xf>
    <xf numFmtId="0" fontId="24" fillId="15" borderId="185" xfId="0" applyFont="1" applyFill="1" applyBorder="1" applyAlignment="1">
      <alignment horizontal="center" vertical="center" wrapText="1"/>
    </xf>
    <xf numFmtId="0" fontId="24" fillId="15" borderId="96" xfId="0" applyFont="1" applyFill="1" applyBorder="1" applyAlignment="1">
      <alignment horizontal="center" vertical="center" wrapText="1"/>
    </xf>
    <xf numFmtId="0" fontId="24" fillId="15" borderId="191" xfId="0" applyFont="1" applyFill="1" applyBorder="1" applyAlignment="1">
      <alignment horizontal="center" vertical="center" wrapText="1"/>
    </xf>
    <xf numFmtId="0" fontId="14" fillId="16" borderId="139" xfId="0" applyFont="1" applyFill="1" applyBorder="1" applyAlignment="1">
      <alignment horizontal="center" vertical="center"/>
    </xf>
    <xf numFmtId="0" fontId="14" fillId="16" borderId="95" xfId="0" applyFont="1" applyFill="1" applyBorder="1" applyAlignment="1">
      <alignment horizontal="center" vertical="center"/>
    </xf>
    <xf numFmtId="169" fontId="14" fillId="17" borderId="98" xfId="0" applyNumberFormat="1" applyFont="1" applyFill="1" applyBorder="1" applyAlignment="1">
      <alignment horizontal="center" vertical="center" wrapText="1"/>
    </xf>
    <xf numFmtId="169" fontId="14" fillId="17" borderId="94" xfId="0" applyNumberFormat="1" applyFont="1" applyFill="1" applyBorder="1" applyAlignment="1">
      <alignment horizontal="center" vertical="center" wrapText="1"/>
    </xf>
    <xf numFmtId="169" fontId="14" fillId="17" borderId="93" xfId="0" applyNumberFormat="1" applyFont="1" applyFill="1" applyBorder="1" applyAlignment="1">
      <alignment horizontal="center" vertical="center" wrapText="1"/>
    </xf>
    <xf numFmtId="0" fontId="0" fillId="38" borderId="28" xfId="0" applyFill="1" applyBorder="1" applyAlignment="1">
      <alignment horizontal="left" vertical="center" wrapText="1"/>
    </xf>
    <xf numFmtId="0" fontId="0" fillId="38" borderId="19" xfId="0" applyFill="1" applyBorder="1" applyAlignment="1">
      <alignment horizontal="left" vertical="center" wrapText="1"/>
    </xf>
    <xf numFmtId="0" fontId="0" fillId="38" borderId="34" xfId="0" applyFill="1" applyBorder="1" applyAlignment="1">
      <alignment horizontal="left" vertical="center" wrapText="1"/>
    </xf>
    <xf numFmtId="0" fontId="0" fillId="38" borderId="29" xfId="0" applyFill="1" applyBorder="1" applyAlignment="1">
      <alignment horizontal="left" vertical="center" wrapText="1"/>
    </xf>
    <xf numFmtId="0" fontId="0" fillId="38" borderId="0" xfId="0" applyFill="1" applyAlignment="1">
      <alignment horizontal="left" vertical="center" wrapText="1"/>
    </xf>
    <xf numFmtId="0" fontId="0" fillId="38" borderId="35" xfId="0" applyFill="1" applyBorder="1" applyAlignment="1">
      <alignment horizontal="left" vertical="center" wrapText="1"/>
    </xf>
    <xf numFmtId="0" fontId="0" fillId="38" borderId="20" xfId="0" applyFill="1" applyBorder="1" applyAlignment="1">
      <alignment horizontal="left" vertical="center" wrapText="1"/>
    </xf>
    <xf numFmtId="0" fontId="0" fillId="38" borderId="15" xfId="0" applyFill="1" applyBorder="1" applyAlignment="1">
      <alignment horizontal="left" vertical="center" wrapText="1"/>
    </xf>
    <xf numFmtId="0" fontId="0" fillId="38" borderId="17" xfId="0" applyFill="1" applyBorder="1" applyAlignment="1">
      <alignment horizontal="left" vertical="center" wrapText="1"/>
    </xf>
  </cellXfs>
  <cellStyles count="47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Euro" xfId="21" xr:uid="{00000000-0005-0000-0000-000006000000}"/>
    <cellStyle name="Euro 2" xfId="22" xr:uid="{00000000-0005-0000-0000-000007000000}"/>
    <cellStyle name="Euro 3" xfId="23" xr:uid="{00000000-0005-0000-0000-000008000000}"/>
    <cellStyle name="Footnote" xfId="7" xr:uid="{00000000-0005-0000-0000-000009000000}"/>
    <cellStyle name="Good" xfId="8" xr:uid="{00000000-0005-0000-0000-00000A000000}"/>
    <cellStyle name="Heading" xfId="9" xr:uid="{00000000-0005-0000-0000-00000B000000}"/>
    <cellStyle name="Heading 1" xfId="10" xr:uid="{00000000-0005-0000-0000-00000C000000}"/>
    <cellStyle name="Heading 2" xfId="11" xr:uid="{00000000-0005-0000-0000-00000D000000}"/>
    <cellStyle name="Hipervínculo" xfId="20" builtinId="8"/>
    <cellStyle name="Millares" xfId="12" builtinId="3"/>
    <cellStyle name="Millares 2" xfId="24" xr:uid="{00000000-0005-0000-0000-000010000000}"/>
    <cellStyle name="Millares 3" xfId="33" xr:uid="{9D3E39E5-C35C-414F-8AD0-C2BE472EBC17}"/>
    <cellStyle name="Millares 3 2" xfId="40" xr:uid="{B59B3F68-4C90-4DC6-B5A6-08F4C12DF359}"/>
    <cellStyle name="Moneda" xfId="13" builtinId="4"/>
    <cellStyle name="Moneda [0]" xfId="31" builtinId="7"/>
    <cellStyle name="Moneda 2" xfId="26" xr:uid="{00000000-0005-0000-0000-000013000000}"/>
    <cellStyle name="Moneda 3" xfId="25" xr:uid="{00000000-0005-0000-0000-000014000000}"/>
    <cellStyle name="Neutral" xfId="14" builtinId="28" customBuiltin="1"/>
    <cellStyle name="Normal" xfId="0" builtinId="0"/>
    <cellStyle name="Normal 2" xfId="27" xr:uid="{00000000-0005-0000-0000-000017000000}"/>
    <cellStyle name="Normal 3" xfId="28" xr:uid="{00000000-0005-0000-0000-000018000000}"/>
    <cellStyle name="Normal 4" xfId="29" xr:uid="{00000000-0005-0000-0000-000019000000}"/>
    <cellStyle name="Normal 5" xfId="32" xr:uid="{AA348D1F-D6AE-440C-AF3C-ED1FC94B3EEB}"/>
    <cellStyle name="Normal 5 2" xfId="39" xr:uid="{D420282B-DC29-4BBD-985E-40ED1C13F63C}"/>
    <cellStyle name="Note" xfId="15" xr:uid="{00000000-0005-0000-0000-00001A000000}"/>
    <cellStyle name="Note 10" xfId="44" xr:uid="{C09FCCBA-F71C-437C-A735-759D015743F3}"/>
    <cellStyle name="Note 11" xfId="45" xr:uid="{EA127E8A-851F-4575-9D06-6FA68FF0FDDA}"/>
    <cellStyle name="Note 12" xfId="46" xr:uid="{E4526EDA-05F4-4B7F-A24E-D9035F3AC128}"/>
    <cellStyle name="Note 2" xfId="36" xr:uid="{D5D1733B-2751-44E3-96FA-2CEA3046353C}"/>
    <cellStyle name="Note 3" xfId="35" xr:uid="{AF0A0649-DA21-42CA-BEE3-8364048E9F57}"/>
    <cellStyle name="Note 4" xfId="37" xr:uid="{87B6E6DC-D2D5-46E0-ADF8-391E2C5AC955}"/>
    <cellStyle name="Note 5" xfId="41" xr:uid="{5598CED3-47FB-4F5E-883B-6032BB397489}"/>
    <cellStyle name="Note 6" xfId="42" xr:uid="{64B174A9-D3E1-4FC0-8A22-6369D660C434}"/>
    <cellStyle name="Note 7" xfId="43" xr:uid="{CBCCC3F6-8DA8-40CC-A6EB-1229C01FCFAC}"/>
    <cellStyle name="Note 8" xfId="38" xr:uid="{43F5168A-C03C-4C69-A309-F6B078607A28}"/>
    <cellStyle name="Note 9" xfId="34" xr:uid="{70B2E1CF-8A21-4592-9A9A-8F16C4106872}"/>
    <cellStyle name="Porcentaje" xfId="16" builtinId="5"/>
    <cellStyle name="Porcentaje 2" xfId="30" xr:uid="{00000000-0005-0000-0000-00001B000000}"/>
    <cellStyle name="Status" xfId="17" xr:uid="{00000000-0005-0000-0000-00001D000000}"/>
    <cellStyle name="Text" xfId="18" xr:uid="{00000000-0005-0000-0000-00001E000000}"/>
    <cellStyle name="Warning" xfId="19" xr:uid="{00000000-0005-0000-0000-00001F000000}"/>
  </cellStyles>
  <dxfs count="5"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>
          <bgColor theme="0"/>
        </patternFill>
      </fill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FF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3CDDD"/>
      <rgbColor rgb="00FF99CC"/>
      <rgbColor rgb="00CC99FF"/>
      <rgbColor rgb="00FAC090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00FF"/>
      <color rgb="FF000099"/>
      <color rgb="FFCCFFCC"/>
      <color rgb="FF0000CC"/>
      <color rgb="FFFF0909"/>
      <color rgb="FF69D8FF"/>
      <color rgb="FFFFFF66"/>
      <color rgb="FF00A249"/>
      <color rgb="FFCC0000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B) Reajuste Tarifas y Ocupaci&#243;n'!A32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D) Costos Indirectos'!Z9"/><Relationship Id="rId2" Type="http://schemas.openxmlformats.org/officeDocument/2006/relationships/hyperlink" Target="#'D) Costos Indirectos'!U9"/><Relationship Id="rId1" Type="http://schemas.openxmlformats.org/officeDocument/2006/relationships/hyperlink" Target="#'D) Costos Indirectos'!M9"/><Relationship Id="rId6" Type="http://schemas.openxmlformats.org/officeDocument/2006/relationships/hyperlink" Target="#'D) Costos Indirectos'!AN9"/><Relationship Id="rId5" Type="http://schemas.openxmlformats.org/officeDocument/2006/relationships/hyperlink" Target="#'D) Costos Indirectos'!A1"/><Relationship Id="rId4" Type="http://schemas.openxmlformats.org/officeDocument/2006/relationships/hyperlink" Target="#'D) Costos Indirectos'!AG9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285749</xdr:colOff>
      <xdr:row>3</xdr:row>
      <xdr:rowOff>119062</xdr:rowOff>
    </xdr:from>
    <xdr:to>
      <xdr:col>8</xdr:col>
      <xdr:colOff>285751</xdr:colOff>
      <xdr:row>5</xdr:row>
      <xdr:rowOff>71437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2A0A780-AED4-4200-A729-D1771A5549FA}"/>
            </a:ext>
          </a:extLst>
        </xdr:cNvPr>
        <xdr:cNvSpPr txBox="1"/>
      </xdr:nvSpPr>
      <xdr:spPr>
        <a:xfrm>
          <a:off x="285749" y="604837"/>
          <a:ext cx="6096002" cy="276225"/>
        </a:xfrm>
        <a:prstGeom prst="rect">
          <a:avLst/>
        </a:prstGeom>
        <a:solidFill>
          <a:srgbClr val="FFFF00"/>
        </a:solidFill>
        <a:ln w="2857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L" sz="1050" b="1" baseline="0">
              <a:latin typeface="Arial" panose="020B0604020202020204" pitchFamily="34" charset="0"/>
              <a:cs typeface="Arial" panose="020B0604020202020204" pitchFamily="34" charset="0"/>
            </a:rPr>
            <a:t>INGRESE LOS DATOS EN LAS CELDAS DESTACADAS EN COLOR AMARILLO Y NARANJO</a:t>
          </a:r>
          <a:endParaRPr lang="es-CL" sz="105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21167</xdr:colOff>
      <xdr:row>7</xdr:row>
      <xdr:rowOff>10584</xdr:rowOff>
    </xdr:from>
    <xdr:to>
      <xdr:col>7</xdr:col>
      <xdr:colOff>539751</xdr:colOff>
      <xdr:row>54</xdr:row>
      <xdr:rowOff>137584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2008732-F0DD-479D-89C0-08D9EA54FC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4149" t="18315" r="33845" b="7910"/>
        <a:stretch/>
      </xdr:blipFill>
      <xdr:spPr>
        <a:xfrm>
          <a:off x="21167" y="1144059"/>
          <a:ext cx="5852584" cy="7737475"/>
        </a:xfrm>
        <a:prstGeom prst="rect">
          <a:avLst/>
        </a:prstGeom>
      </xdr:spPr>
    </xdr:pic>
    <xdr:clientData/>
  </xdr:twoCellAnchor>
  <xdr:twoCellAnchor editAs="oneCell">
    <xdr:from>
      <xdr:col>7</xdr:col>
      <xdr:colOff>571500</xdr:colOff>
      <xdr:row>7</xdr:row>
      <xdr:rowOff>10585</xdr:rowOff>
    </xdr:from>
    <xdr:to>
      <xdr:col>15</xdr:col>
      <xdr:colOff>359833</xdr:colOff>
      <xdr:row>54</xdr:row>
      <xdr:rowOff>137582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83F3741-EADB-405B-8FCD-9747BF73C2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4031" t="17389" r="33789" b="8836"/>
        <a:stretch/>
      </xdr:blipFill>
      <xdr:spPr>
        <a:xfrm>
          <a:off x="5905500" y="1144060"/>
          <a:ext cx="5884333" cy="7737472"/>
        </a:xfrm>
        <a:prstGeom prst="rect">
          <a:avLst/>
        </a:prstGeom>
      </xdr:spPr>
    </xdr:pic>
    <xdr:clientData/>
  </xdr:twoCellAnchor>
  <xdr:twoCellAnchor editAs="oneCell">
    <xdr:from>
      <xdr:col>15</xdr:col>
      <xdr:colOff>402167</xdr:colOff>
      <xdr:row>7</xdr:row>
      <xdr:rowOff>1</xdr:rowOff>
    </xdr:from>
    <xdr:to>
      <xdr:col>23</xdr:col>
      <xdr:colOff>179918</xdr:colOff>
      <xdr:row>54</xdr:row>
      <xdr:rowOff>148168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8DD523C-F799-48C1-BC39-8EFBAD6AE5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4090" t="18830" r="33788" b="7190"/>
        <a:stretch/>
      </xdr:blipFill>
      <xdr:spPr>
        <a:xfrm>
          <a:off x="11832167" y="1133476"/>
          <a:ext cx="5873751" cy="775864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</xdr:row>
      <xdr:rowOff>10588</xdr:rowOff>
    </xdr:from>
    <xdr:to>
      <xdr:col>7</xdr:col>
      <xdr:colOff>539751</xdr:colOff>
      <xdr:row>102</xdr:row>
      <xdr:rowOff>148167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D82375F-4F0B-4204-87B2-5135C42E3C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34148" t="17491" r="33730" b="8631"/>
        <a:stretch/>
      </xdr:blipFill>
      <xdr:spPr>
        <a:xfrm>
          <a:off x="0" y="8916463"/>
          <a:ext cx="5873751" cy="7748054"/>
        </a:xfrm>
        <a:prstGeom prst="rect">
          <a:avLst/>
        </a:prstGeom>
      </xdr:spPr>
    </xdr:pic>
    <xdr:clientData/>
  </xdr:twoCellAnchor>
  <xdr:twoCellAnchor editAs="oneCell">
    <xdr:from>
      <xdr:col>7</xdr:col>
      <xdr:colOff>582083</xdr:colOff>
      <xdr:row>55</xdr:row>
      <xdr:rowOff>10584</xdr:rowOff>
    </xdr:from>
    <xdr:to>
      <xdr:col>15</xdr:col>
      <xdr:colOff>370418</xdr:colOff>
      <xdr:row>102</xdr:row>
      <xdr:rowOff>127001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EEFCFD9-02EC-4AC2-B385-4A1BE2962C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34090" t="17904" r="33730" b="8425"/>
        <a:stretch/>
      </xdr:blipFill>
      <xdr:spPr>
        <a:xfrm>
          <a:off x="5916083" y="8916459"/>
          <a:ext cx="5884335" cy="7726892"/>
        </a:xfrm>
        <a:prstGeom prst="rect">
          <a:avLst/>
        </a:prstGeom>
      </xdr:spPr>
    </xdr:pic>
    <xdr:clientData/>
  </xdr:twoCellAnchor>
  <xdr:twoCellAnchor editAs="oneCell">
    <xdr:from>
      <xdr:col>15</xdr:col>
      <xdr:colOff>412751</xdr:colOff>
      <xdr:row>55</xdr:row>
      <xdr:rowOff>21168</xdr:rowOff>
    </xdr:from>
    <xdr:to>
      <xdr:col>23</xdr:col>
      <xdr:colOff>169334</xdr:colOff>
      <xdr:row>102</xdr:row>
      <xdr:rowOff>116417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18277EE-F775-49D1-85ED-66620FD0E7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34148" t="18315" r="33846" b="8219"/>
        <a:stretch/>
      </xdr:blipFill>
      <xdr:spPr>
        <a:xfrm>
          <a:off x="11842751" y="8927043"/>
          <a:ext cx="5852583" cy="7705724"/>
        </a:xfrm>
        <a:prstGeom prst="rect">
          <a:avLst/>
        </a:prstGeom>
      </xdr:spPr>
    </xdr:pic>
    <xdr:clientData/>
  </xdr:twoCellAnchor>
  <xdr:twoCellAnchor editAs="oneCell">
    <xdr:from>
      <xdr:col>0</xdr:col>
      <xdr:colOff>21167</xdr:colOff>
      <xdr:row>103</xdr:row>
      <xdr:rowOff>21186</xdr:rowOff>
    </xdr:from>
    <xdr:to>
      <xdr:col>7</xdr:col>
      <xdr:colOff>529166</xdr:colOff>
      <xdr:row>151</xdr:row>
      <xdr:rowOff>21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76CF58CA-7466-4D7F-BCC2-741B6F643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34205" t="17080" r="33846" b="9042"/>
        <a:stretch/>
      </xdr:blipFill>
      <xdr:spPr>
        <a:xfrm>
          <a:off x="21167" y="16699461"/>
          <a:ext cx="5841999" cy="7751235"/>
        </a:xfrm>
        <a:prstGeom prst="rect">
          <a:avLst/>
        </a:prstGeom>
      </xdr:spPr>
    </xdr:pic>
    <xdr:clientData/>
  </xdr:twoCellAnchor>
  <xdr:twoCellAnchor editAs="oneCell">
    <xdr:from>
      <xdr:col>7</xdr:col>
      <xdr:colOff>582082</xdr:colOff>
      <xdr:row>103</xdr:row>
      <xdr:rowOff>21184</xdr:rowOff>
    </xdr:from>
    <xdr:to>
      <xdr:col>15</xdr:col>
      <xdr:colOff>328082</xdr:colOff>
      <xdr:row>151</xdr:row>
      <xdr:rowOff>10601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3283AF91-DC5F-4BD0-A734-E6AC212D24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34205" t="18933" r="33846" b="7087"/>
        <a:stretch/>
      </xdr:blipFill>
      <xdr:spPr>
        <a:xfrm>
          <a:off x="5916082" y="16699459"/>
          <a:ext cx="5842000" cy="77618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369094</xdr:colOff>
      <xdr:row>1</xdr:row>
      <xdr:rowOff>71437</xdr:rowOff>
    </xdr:from>
    <xdr:to>
      <xdr:col>0</xdr:col>
      <xdr:colOff>1119190</xdr:colOff>
      <xdr:row>5</xdr:row>
      <xdr:rowOff>226217</xdr:rowOff>
    </xdr:to>
    <xdr:sp macro="" textlink="">
      <xdr:nvSpPr>
        <xdr:cNvPr id="2" name="Flecha: a la derech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>
          <a:off x="369094" y="238125"/>
          <a:ext cx="750096" cy="881061"/>
        </a:xfrm>
        <a:prstGeom prst="rightArrow">
          <a:avLst>
            <a:gd name="adj1" fmla="val 50000"/>
            <a:gd name="adj2" fmla="val 50000"/>
          </a:avLst>
        </a:prstGeom>
        <a:solidFill>
          <a:srgbClr val="00B0F0"/>
        </a:solidFill>
        <a:ln>
          <a:headEnd type="none" w="med" len="med"/>
          <a:tailEnd type="none" w="med" len="med"/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</a:t>
          </a:r>
        </a:p>
        <a:p>
          <a:pPr algn="ctr"/>
          <a:r>
            <a:rPr lang="es-CL" sz="1200" b="1">
              <a:solidFill>
                <a:srgbClr val="FF0000"/>
              </a:solidFill>
            </a:rPr>
            <a:t>TABLA</a:t>
          </a:r>
          <a:r>
            <a:rPr lang="es-CL" sz="1200" b="1" baseline="0">
              <a:solidFill>
                <a:srgbClr val="FF0000"/>
              </a:solidFill>
            </a:rPr>
            <a:t> 4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1</xdr:row>
      <xdr:rowOff>0</xdr:rowOff>
    </xdr:from>
    <xdr:to>
      <xdr:col>1</xdr:col>
      <xdr:colOff>762000</xdr:colOff>
      <xdr:row>4</xdr:row>
      <xdr:rowOff>119062</xdr:rowOff>
    </xdr:to>
    <xdr:sp macro="" textlink="">
      <xdr:nvSpPr>
        <xdr:cNvPr id="2" name="Flecha: hacia abaj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 bwMode="auto">
        <a:xfrm>
          <a:off x="47624" y="166688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7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797719</xdr:colOff>
      <xdr:row>1</xdr:row>
      <xdr:rowOff>23811</xdr:rowOff>
    </xdr:from>
    <xdr:to>
      <xdr:col>2</xdr:col>
      <xdr:colOff>119064</xdr:colOff>
      <xdr:row>4</xdr:row>
      <xdr:rowOff>142873</xdr:rowOff>
    </xdr:to>
    <xdr:sp macro="" textlink="">
      <xdr:nvSpPr>
        <xdr:cNvPr id="3" name="Flecha: hacia abajo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 bwMode="auto">
        <a:xfrm>
          <a:off x="1273969" y="190499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8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154781</xdr:colOff>
      <xdr:row>1</xdr:row>
      <xdr:rowOff>35718</xdr:rowOff>
    </xdr:from>
    <xdr:to>
      <xdr:col>2</xdr:col>
      <xdr:colOff>1345407</xdr:colOff>
      <xdr:row>4</xdr:row>
      <xdr:rowOff>154780</xdr:rowOff>
    </xdr:to>
    <xdr:sp macro="" textlink="">
      <xdr:nvSpPr>
        <xdr:cNvPr id="5" name="Flecha: hacia abajo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 bwMode="auto">
        <a:xfrm>
          <a:off x="2500312" y="202406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9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1404937</xdr:colOff>
      <xdr:row>1</xdr:row>
      <xdr:rowOff>47625</xdr:rowOff>
    </xdr:from>
    <xdr:to>
      <xdr:col>3</xdr:col>
      <xdr:colOff>678656</xdr:colOff>
      <xdr:row>5</xdr:row>
      <xdr:rowOff>83344</xdr:rowOff>
    </xdr:to>
    <xdr:sp macro="" textlink="">
      <xdr:nvSpPr>
        <xdr:cNvPr id="7" name="Flecha: hacia abajo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 bwMode="auto">
        <a:xfrm>
          <a:off x="3750468" y="214313"/>
          <a:ext cx="1190626" cy="773906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10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32</xdr:col>
      <xdr:colOff>333375</xdr:colOff>
      <xdr:row>2</xdr:row>
      <xdr:rowOff>47625</xdr:rowOff>
    </xdr:from>
    <xdr:to>
      <xdr:col>32</xdr:col>
      <xdr:colOff>750093</xdr:colOff>
      <xdr:row>3</xdr:row>
      <xdr:rowOff>178593</xdr:rowOff>
    </xdr:to>
    <xdr:sp macro="" textlink="">
      <xdr:nvSpPr>
        <xdr:cNvPr id="8" name="Flecha derecha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 bwMode="auto">
        <a:xfrm rot="10800000">
          <a:off x="37040344" y="381000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24</xdr:col>
      <xdr:colOff>0</xdr:colOff>
      <xdr:row>3</xdr:row>
      <xdr:rowOff>0</xdr:rowOff>
    </xdr:from>
    <xdr:to>
      <xdr:col>24</xdr:col>
      <xdr:colOff>416718</xdr:colOff>
      <xdr:row>4</xdr:row>
      <xdr:rowOff>59531</xdr:rowOff>
    </xdr:to>
    <xdr:sp macro="" textlink="">
      <xdr:nvSpPr>
        <xdr:cNvPr id="9" name="Flecha derecha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 bwMode="auto">
        <a:xfrm rot="10800000">
          <a:off x="29479875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20</xdr:col>
      <xdr:colOff>416718</xdr:colOff>
      <xdr:row>4</xdr:row>
      <xdr:rowOff>59531</xdr:rowOff>
    </xdr:to>
    <xdr:sp macro="" textlink="">
      <xdr:nvSpPr>
        <xdr:cNvPr id="11" name="Flecha derecha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 bwMode="auto">
        <a:xfrm rot="10800000">
          <a:off x="23086219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12</xdr:col>
      <xdr:colOff>369094</xdr:colOff>
      <xdr:row>3</xdr:row>
      <xdr:rowOff>23813</xdr:rowOff>
    </xdr:from>
    <xdr:to>
      <xdr:col>12</xdr:col>
      <xdr:colOff>785812</xdr:colOff>
      <xdr:row>4</xdr:row>
      <xdr:rowOff>83344</xdr:rowOff>
    </xdr:to>
    <xdr:sp macro="" textlink="">
      <xdr:nvSpPr>
        <xdr:cNvPr id="12" name="Flecha derecha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/>
      </xdr:nvSpPr>
      <xdr:spPr bwMode="auto">
        <a:xfrm rot="10800000">
          <a:off x="15156657" y="523876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5</xdr:col>
      <xdr:colOff>1321594</xdr:colOff>
      <xdr:row>1</xdr:row>
      <xdr:rowOff>0</xdr:rowOff>
    </xdr:from>
    <xdr:to>
      <xdr:col>7</xdr:col>
      <xdr:colOff>47627</xdr:colOff>
      <xdr:row>5</xdr:row>
      <xdr:rowOff>35719</xdr:rowOff>
    </xdr:to>
    <xdr:sp macro="" textlink="">
      <xdr:nvSpPr>
        <xdr:cNvPr id="13" name="Flecha: hacia abajo 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 bwMode="auto">
        <a:xfrm>
          <a:off x="8870157" y="166688"/>
          <a:ext cx="1190626" cy="773906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11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39</xdr:col>
      <xdr:colOff>0</xdr:colOff>
      <xdr:row>3</xdr:row>
      <xdr:rowOff>0</xdr:rowOff>
    </xdr:from>
    <xdr:to>
      <xdr:col>39</xdr:col>
      <xdr:colOff>416718</xdr:colOff>
      <xdr:row>4</xdr:row>
      <xdr:rowOff>59531</xdr:rowOff>
    </xdr:to>
    <xdr:sp macro="" textlink="">
      <xdr:nvSpPr>
        <xdr:cNvPr id="14" name="Flecha derecha 1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 bwMode="auto">
        <a:xfrm rot="10800000">
          <a:off x="43183969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os\2020\TARIFAS%202021\SIMULACION%20TARIFAS%20SC\DELBIENSAN%200%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ciones"/>
      <sheetName val="Índice Tablas"/>
      <sheetName val="20201001Tarifas 2021 Stgo 09 21"/>
      <sheetName val="B) Reajuste Tarifas y Ocupación"/>
      <sheetName val="C) Costos Directos"/>
      <sheetName val="D) Costos Indirectos"/>
      <sheetName val="E) Resumen Tarifado "/>
      <sheetName val="F) Remuneraciones"/>
      <sheetName val="G) Comparación Mercado"/>
      <sheetName val="H) Detalle Datos"/>
    </sheetNames>
    <sheetDataSet>
      <sheetData sheetId="0"/>
      <sheetData sheetId="1"/>
      <sheetData sheetId="2">
        <row r="9">
          <cell r="B9">
            <v>4321700</v>
          </cell>
        </row>
      </sheetData>
      <sheetData sheetId="3">
        <row r="15">
          <cell r="B15" t="str">
            <v>Diurna</v>
          </cell>
        </row>
        <row r="16">
          <cell r="B16" t="str">
            <v>Nocturna</v>
          </cell>
        </row>
        <row r="17">
          <cell r="B17" t="str">
            <v>Media Jornada</v>
          </cell>
        </row>
      </sheetData>
      <sheetData sheetId="4">
        <row r="13">
          <cell r="H13">
            <v>19521895.19444048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A1B62-45AB-4BE9-86EB-101A1F57794C}">
  <sheetPr>
    <tabColor rgb="FFFF0000"/>
  </sheetPr>
  <dimension ref="C1:J52"/>
  <sheetViews>
    <sheetView showGridLines="0" topLeftCell="A36" zoomScale="140" zoomScaleNormal="140" workbookViewId="0">
      <selection activeCell="J4" sqref="J4"/>
    </sheetView>
  </sheetViews>
  <sheetFormatPr baseColWidth="10" defaultColWidth="11.42578125" defaultRowHeight="12.75" x14ac:dyDescent="0.2"/>
  <cols>
    <col min="1" max="16384" width="11.42578125" style="588"/>
  </cols>
  <sheetData>
    <row r="1" spans="3:10" x14ac:dyDescent="0.2">
      <c r="J1" s="589"/>
    </row>
    <row r="2" spans="3:10" x14ac:dyDescent="0.2">
      <c r="J2" s="589" t="s">
        <v>84</v>
      </c>
    </row>
    <row r="3" spans="3:10" x14ac:dyDescent="0.2">
      <c r="J3" s="589"/>
    </row>
    <row r="5" spans="3:10" x14ac:dyDescent="0.2">
      <c r="C5" s="590"/>
      <c r="D5" s="590"/>
      <c r="E5" s="590"/>
      <c r="F5" s="590"/>
      <c r="G5" s="590"/>
      <c r="H5" s="590"/>
      <c r="I5" s="590"/>
      <c r="J5" s="590"/>
    </row>
    <row r="6" spans="3:10" x14ac:dyDescent="0.2">
      <c r="C6" s="590"/>
      <c r="D6" s="590"/>
      <c r="E6" s="590"/>
      <c r="F6" s="590"/>
      <c r="G6" s="590"/>
      <c r="H6" s="590"/>
      <c r="I6" s="590"/>
      <c r="J6" s="590"/>
    </row>
    <row r="7" spans="3:10" x14ac:dyDescent="0.2">
      <c r="C7" s="590"/>
      <c r="D7" s="590"/>
      <c r="E7" s="590"/>
      <c r="F7" s="590"/>
      <c r="G7" s="590"/>
      <c r="H7" s="590"/>
      <c r="I7" s="590"/>
      <c r="J7" s="590"/>
    </row>
    <row r="8" spans="3:10" x14ac:dyDescent="0.2">
      <c r="C8" s="590"/>
      <c r="D8" s="590"/>
      <c r="E8" s="590"/>
      <c r="F8" s="590"/>
      <c r="G8" s="590"/>
      <c r="H8" s="590"/>
      <c r="I8" s="590"/>
      <c r="J8" s="590"/>
    </row>
    <row r="9" spans="3:10" x14ac:dyDescent="0.2">
      <c r="C9" s="590"/>
      <c r="D9" s="590"/>
      <c r="E9" s="590"/>
      <c r="F9" s="590"/>
      <c r="G9" s="590"/>
      <c r="H9" s="590"/>
      <c r="I9" s="590"/>
      <c r="J9" s="590"/>
    </row>
    <row r="10" spans="3:10" x14ac:dyDescent="0.2">
      <c r="C10" s="590"/>
      <c r="D10" s="590"/>
      <c r="E10" s="590"/>
      <c r="F10" s="590"/>
      <c r="G10" s="590"/>
      <c r="H10" s="590"/>
      <c r="I10" s="590"/>
      <c r="J10" s="590"/>
    </row>
    <row r="11" spans="3:10" x14ac:dyDescent="0.2">
      <c r="C11" s="590"/>
      <c r="D11" s="590"/>
      <c r="E11" s="590"/>
      <c r="F11" s="590"/>
      <c r="G11" s="590"/>
      <c r="H11" s="590"/>
      <c r="I11" s="590"/>
      <c r="J11" s="590"/>
    </row>
    <row r="12" spans="3:10" x14ac:dyDescent="0.2">
      <c r="C12" s="590"/>
      <c r="D12" s="590"/>
      <c r="E12" s="590"/>
      <c r="F12" s="590"/>
      <c r="G12" s="590"/>
      <c r="H12" s="590"/>
      <c r="I12" s="590"/>
      <c r="J12" s="590"/>
    </row>
    <row r="13" spans="3:10" x14ac:dyDescent="0.2">
      <c r="C13" s="590"/>
      <c r="D13" s="590"/>
      <c r="E13" s="590"/>
      <c r="F13" s="590"/>
      <c r="G13" s="590"/>
      <c r="H13" s="590"/>
      <c r="I13" s="590"/>
      <c r="J13" s="590"/>
    </row>
    <row r="14" spans="3:10" x14ac:dyDescent="0.2">
      <c r="C14" s="590"/>
      <c r="D14" s="590"/>
      <c r="E14" s="590"/>
      <c r="F14" s="590"/>
      <c r="G14" s="590"/>
      <c r="H14" s="590"/>
      <c r="I14" s="590"/>
      <c r="J14" s="590"/>
    </row>
    <row r="15" spans="3:10" x14ac:dyDescent="0.2">
      <c r="C15" s="590"/>
      <c r="D15" s="590"/>
      <c r="E15" s="590"/>
      <c r="F15" s="590"/>
      <c r="G15" s="590"/>
      <c r="H15" s="590"/>
      <c r="I15" s="590"/>
      <c r="J15" s="590"/>
    </row>
    <row r="16" spans="3:10" x14ac:dyDescent="0.2">
      <c r="C16" s="590"/>
      <c r="D16" s="590"/>
      <c r="E16" s="590"/>
      <c r="F16" s="590"/>
      <c r="G16" s="590"/>
      <c r="H16" s="590"/>
      <c r="I16" s="590"/>
      <c r="J16" s="590"/>
    </row>
    <row r="17" spans="3:10" x14ac:dyDescent="0.2">
      <c r="C17" s="590"/>
      <c r="D17" s="590"/>
      <c r="E17" s="590"/>
      <c r="F17" s="590"/>
      <c r="G17" s="590"/>
      <c r="H17" s="590"/>
      <c r="I17" s="590"/>
      <c r="J17" s="590"/>
    </row>
    <row r="18" spans="3:10" x14ac:dyDescent="0.2">
      <c r="C18" s="590"/>
      <c r="D18" s="590"/>
      <c r="E18" s="590"/>
      <c r="F18" s="590"/>
      <c r="G18" s="590"/>
      <c r="H18" s="590"/>
      <c r="I18" s="590"/>
      <c r="J18" s="590"/>
    </row>
    <row r="19" spans="3:10" x14ac:dyDescent="0.2">
      <c r="C19" s="590"/>
      <c r="D19" s="590"/>
      <c r="E19" s="590"/>
      <c r="F19" s="590"/>
      <c r="G19" s="590"/>
      <c r="H19" s="590"/>
      <c r="I19" s="590"/>
      <c r="J19" s="590"/>
    </row>
    <row r="20" spans="3:10" x14ac:dyDescent="0.2">
      <c r="C20" s="590"/>
      <c r="D20" s="590"/>
      <c r="E20" s="590"/>
      <c r="F20" s="590"/>
      <c r="G20" s="590"/>
      <c r="H20" s="590"/>
      <c r="I20" s="590"/>
      <c r="J20" s="590"/>
    </row>
    <row r="21" spans="3:10" x14ac:dyDescent="0.2">
      <c r="C21" s="590"/>
      <c r="D21" s="590"/>
      <c r="E21" s="590"/>
      <c r="F21" s="590"/>
      <c r="G21" s="590"/>
      <c r="H21" s="590"/>
      <c r="I21" s="590"/>
      <c r="J21" s="590"/>
    </row>
    <row r="22" spans="3:10" x14ac:dyDescent="0.2">
      <c r="C22" s="590"/>
      <c r="D22" s="590"/>
      <c r="E22" s="590"/>
      <c r="F22" s="590"/>
      <c r="G22" s="590"/>
      <c r="H22" s="590"/>
      <c r="I22" s="590"/>
      <c r="J22" s="590"/>
    </row>
    <row r="23" spans="3:10" x14ac:dyDescent="0.2">
      <c r="C23" s="590"/>
      <c r="D23" s="590"/>
      <c r="E23" s="590"/>
      <c r="F23" s="590"/>
      <c r="G23" s="590"/>
      <c r="H23" s="590"/>
      <c r="I23" s="590"/>
      <c r="J23" s="590"/>
    </row>
    <row r="24" spans="3:10" x14ac:dyDescent="0.2">
      <c r="C24" s="590"/>
      <c r="D24" s="590"/>
      <c r="E24" s="590"/>
      <c r="F24" s="590"/>
      <c r="G24" s="590"/>
      <c r="H24" s="590"/>
      <c r="I24" s="590"/>
      <c r="J24" s="590"/>
    </row>
    <row r="25" spans="3:10" x14ac:dyDescent="0.2">
      <c r="C25" s="590"/>
      <c r="D25" s="590"/>
      <c r="E25" s="590"/>
      <c r="F25" s="590"/>
      <c r="G25" s="590"/>
      <c r="H25" s="590"/>
      <c r="I25" s="590"/>
      <c r="J25" s="590"/>
    </row>
    <row r="26" spans="3:10" x14ac:dyDescent="0.2">
      <c r="C26" s="590"/>
      <c r="D26" s="590"/>
      <c r="E26" s="590"/>
      <c r="F26" s="590"/>
      <c r="G26" s="590"/>
      <c r="H26" s="590"/>
      <c r="I26" s="590"/>
      <c r="J26" s="590"/>
    </row>
    <row r="27" spans="3:10" x14ac:dyDescent="0.2">
      <c r="C27" s="590"/>
      <c r="D27" s="590"/>
      <c r="E27" s="590"/>
      <c r="F27" s="590"/>
      <c r="G27" s="590"/>
      <c r="H27" s="590"/>
      <c r="I27" s="590"/>
      <c r="J27" s="590"/>
    </row>
    <row r="28" spans="3:10" x14ac:dyDescent="0.2">
      <c r="C28" s="590"/>
      <c r="D28" s="590"/>
      <c r="E28" s="590"/>
      <c r="F28" s="590"/>
      <c r="G28" s="590"/>
      <c r="H28" s="590"/>
      <c r="I28" s="590"/>
      <c r="J28" s="590"/>
    </row>
    <row r="29" spans="3:10" x14ac:dyDescent="0.2">
      <c r="C29" s="590"/>
      <c r="D29" s="590"/>
      <c r="E29" s="590"/>
      <c r="F29" s="590"/>
      <c r="G29" s="590"/>
      <c r="H29" s="590"/>
      <c r="I29" s="590"/>
      <c r="J29" s="590"/>
    </row>
    <row r="30" spans="3:10" x14ac:dyDescent="0.2">
      <c r="C30" s="590"/>
      <c r="D30" s="590"/>
      <c r="E30" s="590"/>
      <c r="F30" s="590"/>
      <c r="G30" s="590"/>
      <c r="H30" s="590"/>
      <c r="I30" s="590"/>
      <c r="J30" s="590"/>
    </row>
    <row r="31" spans="3:10" x14ac:dyDescent="0.2">
      <c r="C31" s="590"/>
      <c r="D31" s="590"/>
      <c r="E31" s="590"/>
      <c r="F31" s="590"/>
      <c r="G31" s="590"/>
      <c r="H31" s="590"/>
      <c r="I31" s="590"/>
      <c r="J31" s="590"/>
    </row>
    <row r="32" spans="3:10" x14ac:dyDescent="0.2">
      <c r="C32" s="590"/>
      <c r="D32" s="590"/>
      <c r="E32" s="590"/>
      <c r="F32" s="590"/>
      <c r="G32" s="590"/>
      <c r="H32" s="590"/>
      <c r="I32" s="590"/>
      <c r="J32" s="590"/>
    </row>
    <row r="33" spans="3:10" x14ac:dyDescent="0.2">
      <c r="C33" s="590"/>
      <c r="D33" s="590"/>
      <c r="E33" s="590"/>
      <c r="F33" s="590"/>
      <c r="G33" s="590"/>
      <c r="H33" s="590"/>
      <c r="I33" s="590"/>
      <c r="J33" s="590"/>
    </row>
    <row r="34" spans="3:10" x14ac:dyDescent="0.2">
      <c r="C34" s="590"/>
      <c r="D34" s="590"/>
      <c r="E34" s="590"/>
      <c r="F34" s="590"/>
      <c r="G34" s="590"/>
      <c r="H34" s="590"/>
      <c r="I34" s="590"/>
      <c r="J34" s="590"/>
    </row>
    <row r="35" spans="3:10" x14ac:dyDescent="0.2">
      <c r="C35" s="590"/>
      <c r="D35" s="590"/>
      <c r="E35" s="590"/>
      <c r="F35" s="590"/>
      <c r="G35" s="590"/>
      <c r="H35" s="590"/>
      <c r="I35" s="590"/>
      <c r="J35" s="590"/>
    </row>
    <row r="36" spans="3:10" x14ac:dyDescent="0.2">
      <c r="C36" s="590"/>
      <c r="D36" s="590"/>
      <c r="E36" s="590"/>
      <c r="F36" s="590"/>
      <c r="G36" s="590"/>
      <c r="H36" s="590"/>
      <c r="I36" s="590"/>
      <c r="J36" s="590"/>
    </row>
    <row r="37" spans="3:10" x14ac:dyDescent="0.2">
      <c r="C37" s="590"/>
      <c r="D37" s="590"/>
      <c r="E37" s="590"/>
      <c r="F37" s="590"/>
      <c r="G37" s="590"/>
      <c r="H37" s="590"/>
      <c r="I37" s="590"/>
      <c r="J37" s="590"/>
    </row>
    <row r="38" spans="3:10" x14ac:dyDescent="0.2">
      <c r="C38" s="590"/>
      <c r="D38" s="590"/>
      <c r="E38" s="590"/>
      <c r="F38" s="590"/>
      <c r="G38" s="590"/>
      <c r="H38" s="590"/>
      <c r="I38" s="590"/>
      <c r="J38" s="590"/>
    </row>
    <row r="39" spans="3:10" x14ac:dyDescent="0.2">
      <c r="C39" s="590"/>
      <c r="D39" s="590"/>
      <c r="E39" s="590"/>
      <c r="F39" s="590"/>
      <c r="G39" s="590"/>
      <c r="H39" s="590"/>
      <c r="I39" s="590"/>
      <c r="J39" s="590"/>
    </row>
    <row r="40" spans="3:10" x14ac:dyDescent="0.2">
      <c r="C40" s="590"/>
      <c r="D40" s="590"/>
      <c r="E40" s="590"/>
      <c r="F40" s="590"/>
      <c r="G40" s="590"/>
      <c r="H40" s="590"/>
      <c r="I40" s="590"/>
      <c r="J40" s="590"/>
    </row>
    <row r="41" spans="3:10" x14ac:dyDescent="0.2">
      <c r="C41" s="590"/>
      <c r="D41" s="590"/>
      <c r="E41" s="590"/>
      <c r="F41" s="590"/>
      <c r="G41" s="590"/>
      <c r="H41" s="590"/>
      <c r="I41" s="590"/>
      <c r="J41" s="590"/>
    </row>
    <row r="42" spans="3:10" x14ac:dyDescent="0.2">
      <c r="C42" s="590"/>
      <c r="D42" s="590"/>
      <c r="E42" s="590"/>
      <c r="F42" s="590"/>
      <c r="G42" s="590"/>
      <c r="H42" s="590"/>
      <c r="I42" s="590"/>
      <c r="J42" s="590"/>
    </row>
    <row r="43" spans="3:10" x14ac:dyDescent="0.2">
      <c r="C43" s="590"/>
      <c r="D43" s="590"/>
      <c r="E43" s="590"/>
      <c r="F43" s="590"/>
      <c r="G43" s="590"/>
      <c r="H43" s="590"/>
      <c r="I43" s="590"/>
      <c r="J43" s="590"/>
    </row>
    <row r="44" spans="3:10" x14ac:dyDescent="0.2">
      <c r="C44" s="590"/>
      <c r="D44" s="590"/>
      <c r="E44" s="590"/>
      <c r="F44" s="590"/>
      <c r="G44" s="590"/>
      <c r="H44" s="590"/>
      <c r="I44" s="590"/>
      <c r="J44" s="590"/>
    </row>
    <row r="45" spans="3:10" x14ac:dyDescent="0.2">
      <c r="C45" s="590"/>
      <c r="D45" s="590"/>
      <c r="E45" s="590"/>
      <c r="F45" s="590"/>
      <c r="G45" s="590"/>
      <c r="H45" s="590"/>
      <c r="I45" s="590"/>
      <c r="J45" s="590"/>
    </row>
    <row r="46" spans="3:10" x14ac:dyDescent="0.2">
      <c r="C46" s="590"/>
      <c r="D46" s="590"/>
      <c r="E46" s="590"/>
      <c r="F46" s="590"/>
      <c r="G46" s="590"/>
      <c r="H46" s="590"/>
      <c r="I46" s="590"/>
      <c r="J46" s="590"/>
    </row>
    <row r="47" spans="3:10" x14ac:dyDescent="0.2">
      <c r="C47" s="590"/>
      <c r="D47" s="590"/>
      <c r="E47" s="590"/>
      <c r="F47" s="590"/>
      <c r="G47" s="590"/>
      <c r="H47" s="590"/>
      <c r="I47" s="590"/>
      <c r="J47" s="590"/>
    </row>
    <row r="48" spans="3:10" x14ac:dyDescent="0.2">
      <c r="C48" s="590"/>
      <c r="D48" s="590"/>
      <c r="E48" s="590"/>
      <c r="F48" s="590"/>
      <c r="G48" s="590"/>
      <c r="H48" s="590"/>
      <c r="I48" s="590"/>
      <c r="J48" s="590"/>
    </row>
    <row r="49" spans="3:10" x14ac:dyDescent="0.2">
      <c r="C49" s="590"/>
      <c r="D49" s="590"/>
      <c r="E49" s="590"/>
      <c r="F49" s="590"/>
      <c r="G49" s="590"/>
      <c r="H49" s="590"/>
      <c r="I49" s="590"/>
      <c r="J49" s="590"/>
    </row>
    <row r="50" spans="3:10" x14ac:dyDescent="0.2">
      <c r="C50" s="590"/>
      <c r="D50" s="590"/>
      <c r="E50" s="590"/>
      <c r="F50" s="590"/>
      <c r="G50" s="590"/>
      <c r="H50" s="590"/>
      <c r="I50" s="590"/>
      <c r="J50" s="590"/>
    </row>
    <row r="51" spans="3:10" x14ac:dyDescent="0.2">
      <c r="C51" s="590"/>
      <c r="D51" s="590"/>
      <c r="E51" s="590"/>
      <c r="F51" s="590"/>
      <c r="G51" s="590"/>
      <c r="H51" s="590"/>
      <c r="I51" s="590"/>
      <c r="J51" s="590"/>
    </row>
    <row r="52" spans="3:10" x14ac:dyDescent="0.2">
      <c r="C52" s="590"/>
      <c r="D52" s="590"/>
      <c r="E52" s="590"/>
      <c r="F52" s="590"/>
      <c r="G52" s="590"/>
      <c r="H52" s="590"/>
      <c r="I52" s="590"/>
      <c r="J52" s="590"/>
    </row>
  </sheetData>
  <sheetProtection algorithmName="SHA-512" hashValue="+aDl2bAvEEmBtWRp5aUyB0eRbmfoim30+3zctoVAXw3F0bD2Q5LOiZnIAeowgKme0tqL1dN+ZNWMqkUfmnT3+A==" saltValue="yJLb8Qctg1l4G44FtCN41A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S19"/>
  <sheetViews>
    <sheetView showGridLines="0" zoomScale="80" zoomScaleNormal="80" workbookViewId="0">
      <selection activeCell="P19" sqref="P19"/>
    </sheetView>
  </sheetViews>
  <sheetFormatPr baseColWidth="10" defaultColWidth="10.7109375" defaultRowHeight="12.75" x14ac:dyDescent="0.2"/>
  <cols>
    <col min="1" max="1" width="33" style="2" customWidth="1"/>
    <col min="2" max="2" width="33" style="2" bestFit="1" customWidth="1"/>
    <col min="3" max="12" width="14.7109375" style="2" customWidth="1"/>
    <col min="13" max="13" width="33.42578125" style="2" bestFit="1" customWidth="1"/>
    <col min="14" max="14" width="14.7109375" style="2" customWidth="1"/>
    <col min="15" max="15" width="33.42578125" style="2" bestFit="1" customWidth="1"/>
    <col min="16" max="16" width="14.7109375" style="2" customWidth="1"/>
    <col min="17" max="17" width="14.28515625" style="2" customWidth="1"/>
    <col min="18" max="16384" width="10.7109375" style="2"/>
  </cols>
  <sheetData>
    <row r="1" spans="1:19" x14ac:dyDescent="0.2">
      <c r="B1" s="33"/>
      <c r="C1" s="33"/>
      <c r="D1" s="33" t="s">
        <v>204</v>
      </c>
      <c r="E1" s="33"/>
      <c r="F1" s="33"/>
      <c r="G1" s="33"/>
      <c r="H1" s="33"/>
      <c r="I1" s="33"/>
      <c r="J1" s="33"/>
      <c r="K1" s="33"/>
      <c r="L1" s="33"/>
      <c r="M1" s="33"/>
      <c r="N1" s="33"/>
      <c r="P1" s="33"/>
    </row>
    <row r="2" spans="1:19" x14ac:dyDescent="0.2">
      <c r="B2" s="33"/>
      <c r="C2" s="33"/>
      <c r="D2" s="33" t="s">
        <v>196</v>
      </c>
      <c r="E2" s="33"/>
      <c r="F2" s="33"/>
      <c r="G2" s="33"/>
      <c r="H2" s="33"/>
      <c r="I2" s="33"/>
      <c r="J2" s="33"/>
      <c r="K2" s="33"/>
      <c r="L2" s="33"/>
      <c r="M2" s="33"/>
      <c r="N2" s="33"/>
      <c r="P2" s="33"/>
    </row>
    <row r="3" spans="1:19" x14ac:dyDescent="0.2">
      <c r="C3" s="4"/>
      <c r="D3" s="4"/>
      <c r="E3" s="4"/>
      <c r="F3" s="4"/>
      <c r="G3" s="4"/>
      <c r="H3" s="4"/>
      <c r="I3" s="4"/>
      <c r="J3" s="4"/>
      <c r="K3" s="4"/>
      <c r="L3" s="4"/>
      <c r="N3" s="4"/>
      <c r="P3" s="4"/>
    </row>
    <row r="4" spans="1:19" ht="18.75" customHeight="1" x14ac:dyDescent="0.2">
      <c r="C4" s="13" t="s">
        <v>0</v>
      </c>
      <c r="D4" s="937" t="str">
        <f>+'B) Reajuste Tarifas y Ocupación'!F5</f>
        <v>BIENMAG</v>
      </c>
      <c r="E4" s="725"/>
      <c r="F4" s="938"/>
      <c r="G4" s="33"/>
      <c r="H4" s="33"/>
      <c r="I4" s="33"/>
      <c r="J4" s="33"/>
      <c r="K4" s="33"/>
      <c r="L4" s="33"/>
      <c r="N4" s="33"/>
      <c r="P4" s="33"/>
    </row>
    <row r="5" spans="1:19" x14ac:dyDescent="0.2">
      <c r="A5" s="6"/>
      <c r="B5" s="6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P5" s="33"/>
    </row>
    <row r="6" spans="1:19" x14ac:dyDescent="0.2">
      <c r="A6" s="6"/>
      <c r="B6" s="6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P6" s="33"/>
    </row>
    <row r="7" spans="1:19" ht="12.75" customHeight="1" x14ac:dyDescent="0.2">
      <c r="A7" s="950" t="s">
        <v>129</v>
      </c>
      <c r="B7" s="951"/>
      <c r="C7" s="951"/>
      <c r="D7" s="951"/>
      <c r="E7" s="951"/>
      <c r="F7" s="951"/>
      <c r="G7" s="951"/>
      <c r="H7" s="951"/>
      <c r="I7" s="951"/>
      <c r="J7" s="951"/>
      <c r="K7" s="951"/>
      <c r="L7" s="951"/>
      <c r="M7" s="951"/>
      <c r="N7" s="951"/>
      <c r="O7" s="952"/>
      <c r="P7" s="37"/>
    </row>
    <row r="8" spans="1:19" x14ac:dyDescent="0.2">
      <c r="A8" s="953"/>
      <c r="B8" s="954"/>
      <c r="C8" s="954"/>
      <c r="D8" s="954"/>
      <c r="E8" s="954"/>
      <c r="F8" s="954"/>
      <c r="G8" s="954"/>
      <c r="H8" s="954"/>
      <c r="I8" s="954"/>
      <c r="J8" s="954"/>
      <c r="K8" s="954"/>
      <c r="L8" s="954"/>
      <c r="M8" s="954"/>
      <c r="N8" s="954"/>
      <c r="O8" s="955"/>
      <c r="P8" s="37"/>
    </row>
    <row r="9" spans="1:19" x14ac:dyDescent="0.2">
      <c r="A9" s="956"/>
      <c r="B9" s="957"/>
      <c r="C9" s="957"/>
      <c r="D9" s="957"/>
      <c r="E9" s="957"/>
      <c r="F9" s="957"/>
      <c r="G9" s="957"/>
      <c r="H9" s="957"/>
      <c r="I9" s="957"/>
      <c r="J9" s="957"/>
      <c r="K9" s="957"/>
      <c r="L9" s="957"/>
      <c r="M9" s="957"/>
      <c r="N9" s="957"/>
      <c r="O9" s="958"/>
      <c r="P9" s="37"/>
    </row>
    <row r="10" spans="1:19" x14ac:dyDescent="0.2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</row>
    <row r="11" spans="1:19" x14ac:dyDescent="0.2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</row>
    <row r="12" spans="1:19" ht="15.75" x14ac:dyDescent="0.2">
      <c r="A12" s="743" t="s">
        <v>158</v>
      </c>
      <c r="B12" s="743"/>
      <c r="C12" s="743"/>
      <c r="D12" s="743"/>
      <c r="E12" s="68"/>
      <c r="F12" s="37"/>
      <c r="G12" s="37"/>
      <c r="H12" s="37"/>
      <c r="I12" s="36"/>
      <c r="J12" s="36"/>
      <c r="K12" s="37"/>
      <c r="L12" s="37"/>
      <c r="M12" s="37"/>
      <c r="N12" s="37"/>
      <c r="O12" s="37"/>
      <c r="P12" s="37"/>
    </row>
    <row r="13" spans="1:19" ht="13.5" thickBot="1" x14ac:dyDescent="0.25">
      <c r="A13" s="6"/>
      <c r="B13" s="6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P13" s="33"/>
    </row>
    <row r="14" spans="1:19" ht="20.25" customHeight="1" x14ac:dyDescent="0.2">
      <c r="A14" s="941" t="s">
        <v>134</v>
      </c>
      <c r="B14" s="943" t="s">
        <v>5</v>
      </c>
      <c r="C14" s="732" t="s">
        <v>257</v>
      </c>
      <c r="D14" s="733"/>
      <c r="E14" s="733"/>
      <c r="F14" s="733"/>
      <c r="G14" s="734"/>
      <c r="H14" s="947" t="s">
        <v>140</v>
      </c>
      <c r="I14" s="948"/>
      <c r="J14" s="948"/>
      <c r="K14" s="948"/>
      <c r="L14" s="949"/>
      <c r="M14" s="945" t="s">
        <v>111</v>
      </c>
      <c r="N14" s="946"/>
      <c r="O14" s="939" t="s">
        <v>112</v>
      </c>
      <c r="P14" s="940"/>
      <c r="Q14" s="935" t="s">
        <v>130</v>
      </c>
    </row>
    <row r="15" spans="1:19" ht="70.5" customHeight="1" thickBot="1" x14ac:dyDescent="0.25">
      <c r="A15" s="942"/>
      <c r="B15" s="944"/>
      <c r="C15" s="267" t="s">
        <v>87</v>
      </c>
      <c r="D15" s="268" t="s">
        <v>135</v>
      </c>
      <c r="E15" s="268" t="s">
        <v>136</v>
      </c>
      <c r="F15" s="268" t="s">
        <v>88</v>
      </c>
      <c r="G15" s="269" t="s">
        <v>89</v>
      </c>
      <c r="H15" s="270" t="s">
        <v>87</v>
      </c>
      <c r="I15" s="271" t="s">
        <v>135</v>
      </c>
      <c r="J15" s="271" t="s">
        <v>136</v>
      </c>
      <c r="K15" s="271" t="s">
        <v>88</v>
      </c>
      <c r="L15" s="272" t="s">
        <v>89</v>
      </c>
      <c r="M15" s="273" t="s">
        <v>72</v>
      </c>
      <c r="N15" s="574" t="s">
        <v>86</v>
      </c>
      <c r="O15" s="274" t="s">
        <v>72</v>
      </c>
      <c r="P15" s="164" t="s">
        <v>86</v>
      </c>
      <c r="Q15" s="936"/>
    </row>
    <row r="16" spans="1:19" ht="12.75" customHeight="1" x14ac:dyDescent="0.2">
      <c r="A16" s="931" t="str">
        <f>'B) Reajuste Tarifas y Ocupación'!A12</f>
        <v>Jardín Infantil Mar y Cielo</v>
      </c>
      <c r="B16" s="261" t="str">
        <f>+'B) Reajuste Tarifas y Ocupación'!B12</f>
        <v>Media jornada</v>
      </c>
      <c r="C16" s="576">
        <f>+'B) Reajuste Tarifas y Ocupación'!M12</f>
        <v>104700</v>
      </c>
      <c r="D16" s="577">
        <f>+'B) Reajuste Tarifas y Ocupación'!N12</f>
        <v>141300</v>
      </c>
      <c r="E16" s="577">
        <f>+'B) Reajuste Tarifas y Ocupación'!O12</f>
        <v>146500</v>
      </c>
      <c r="F16" s="577">
        <f>+'B) Reajuste Tarifas y Ocupación'!P12</f>
        <v>163700</v>
      </c>
      <c r="G16" s="578">
        <f>+'B) Reajuste Tarifas y Ocupación'!Q12</f>
        <v>193500</v>
      </c>
      <c r="H16" s="649">
        <f t="shared" ref="H16:K18" si="0">IFERROR(C16/$Q16,0)</f>
        <v>0.67548387096774198</v>
      </c>
      <c r="I16" s="648">
        <f t="shared" si="0"/>
        <v>0.91161290322580646</v>
      </c>
      <c r="J16" s="648">
        <f t="shared" si="0"/>
        <v>0.94516129032258067</v>
      </c>
      <c r="K16" s="648">
        <f t="shared" si="0"/>
        <v>1.0561290322580645</v>
      </c>
      <c r="L16" s="425">
        <f t="shared" ref="L16" si="1">IFERROR(G16/$Q16,0)</f>
        <v>1.2483870967741935</v>
      </c>
      <c r="M16" s="400" t="s">
        <v>308</v>
      </c>
      <c r="N16" s="575">
        <v>310000</v>
      </c>
      <c r="O16" s="348" t="s">
        <v>309</v>
      </c>
      <c r="P16" s="652">
        <v>0</v>
      </c>
      <c r="Q16" s="655">
        <f>AVERAGE(N16,P16)</f>
        <v>155000</v>
      </c>
      <c r="R16" s="14"/>
      <c r="S16" s="15"/>
    </row>
    <row r="17" spans="1:19" ht="12.75" customHeight="1" x14ac:dyDescent="0.2">
      <c r="A17" s="932"/>
      <c r="B17" s="394" t="str">
        <f>+'B) Reajuste Tarifas y Ocupación'!B13</f>
        <v>Media Jornada extendida</v>
      </c>
      <c r="C17" s="579">
        <f>+'B) Reajuste Tarifas y Ocupación'!M13</f>
        <v>163500</v>
      </c>
      <c r="D17" s="557">
        <f>+'B) Reajuste Tarifas y Ocupación'!N13</f>
        <v>220700</v>
      </c>
      <c r="E17" s="557">
        <f>+'B) Reajuste Tarifas y Ocupación'!O13</f>
        <v>228900</v>
      </c>
      <c r="F17" s="557">
        <f>+'B) Reajuste Tarifas y Ocupación'!P13</f>
        <v>204300</v>
      </c>
      <c r="G17" s="580">
        <f>+'B) Reajuste Tarifas y Ocupación'!Q13</f>
        <v>245000</v>
      </c>
      <c r="H17" s="650">
        <f t="shared" ref="H17" si="2">IFERROR(C17/$Q17,0)</f>
        <v>1.1275862068965516</v>
      </c>
      <c r="I17" s="647">
        <f t="shared" ref="I17" si="3">IFERROR(D17/$Q17,0)</f>
        <v>1.5220689655172415</v>
      </c>
      <c r="J17" s="647">
        <f t="shared" ref="J17" si="4">IFERROR(E17/$Q17,0)</f>
        <v>1.5786206896551724</v>
      </c>
      <c r="K17" s="647">
        <f t="shared" ref="K17" si="5">IFERROR(F17/$Q17,0)</f>
        <v>1.4089655172413793</v>
      </c>
      <c r="L17" s="426">
        <f t="shared" ref="L17" si="6">IFERROR(G17/$Q17,0)</f>
        <v>1.6896551724137931</v>
      </c>
      <c r="M17" s="401" t="s">
        <v>128</v>
      </c>
      <c r="N17" s="428">
        <v>0</v>
      </c>
      <c r="O17" s="573" t="s">
        <v>309</v>
      </c>
      <c r="P17" s="653">
        <v>290000</v>
      </c>
      <c r="Q17" s="656">
        <f>AVERAGE(N17,P17)</f>
        <v>145000</v>
      </c>
      <c r="R17" s="14"/>
      <c r="S17" s="15"/>
    </row>
    <row r="18" spans="1:19" ht="12.75" customHeight="1" x14ac:dyDescent="0.2">
      <c r="A18" s="933"/>
      <c r="B18" s="394" t="str">
        <f>+'B) Reajuste Tarifas y Ocupación'!B14</f>
        <v xml:space="preserve">Doble jornada </v>
      </c>
      <c r="C18" s="579">
        <f>+'B) Reajuste Tarifas y Ocupación'!M14</f>
        <v>147800</v>
      </c>
      <c r="D18" s="557">
        <f>+'B) Reajuste Tarifas y Ocupación'!N14</f>
        <v>199500</v>
      </c>
      <c r="E18" s="557">
        <f>+'B) Reajuste Tarifas y Ocupación'!O14</f>
        <v>206900</v>
      </c>
      <c r="F18" s="557">
        <f>+'B) Reajuste Tarifas y Ocupación'!P14</f>
        <v>221800</v>
      </c>
      <c r="G18" s="580">
        <f>+'B) Reajuste Tarifas y Ocupación'!Q14</f>
        <v>259900</v>
      </c>
      <c r="H18" s="650">
        <f t="shared" si="0"/>
        <v>0</v>
      </c>
      <c r="I18" s="647">
        <f t="shared" si="0"/>
        <v>0</v>
      </c>
      <c r="J18" s="647">
        <f t="shared" si="0"/>
        <v>0</v>
      </c>
      <c r="K18" s="647">
        <f t="shared" si="0"/>
        <v>0</v>
      </c>
      <c r="L18" s="426">
        <f t="shared" ref="L18" si="7">IFERROR(G18/$Q18,0)</f>
        <v>0</v>
      </c>
      <c r="M18" s="401" t="s">
        <v>128</v>
      </c>
      <c r="N18" s="428">
        <v>0</v>
      </c>
      <c r="O18" s="573" t="s">
        <v>227</v>
      </c>
      <c r="P18" s="653">
        <v>0</v>
      </c>
      <c r="Q18" s="656">
        <f>AVERAGE(N18,P18)</f>
        <v>0</v>
      </c>
      <c r="R18" s="14"/>
      <c r="S18" s="15"/>
    </row>
    <row r="19" spans="1:19" ht="13.5" thickBot="1" x14ac:dyDescent="0.25">
      <c r="A19" s="934"/>
      <c r="B19" s="262" t="str">
        <f>+'B) Reajuste Tarifas y Ocupación'!B15</f>
        <v>Jornada completa</v>
      </c>
      <c r="C19" s="264">
        <f>+'B) Reajuste Tarifas y Ocupación'!M15</f>
        <v>222500</v>
      </c>
      <c r="D19" s="265">
        <f>+'B) Reajuste Tarifas y Ocupación'!N15</f>
        <v>300400</v>
      </c>
      <c r="E19" s="265">
        <f>+'B) Reajuste Tarifas y Ocupación'!O15</f>
        <v>311500</v>
      </c>
      <c r="F19" s="265">
        <f>+'B) Reajuste Tarifas y Ocupación'!P15</f>
        <v>278100</v>
      </c>
      <c r="G19" s="266">
        <f>+'B) Reajuste Tarifas y Ocupación'!Q15</f>
        <v>289200</v>
      </c>
      <c r="H19" s="651">
        <f t="shared" ref="H19" si="8">IFERROR(C19/$Q19,0)</f>
        <v>0.55006180469715693</v>
      </c>
      <c r="I19" s="169">
        <f t="shared" ref="I19" si="9">IFERROR(D19/$Q19,0)</f>
        <v>0.74264524103831886</v>
      </c>
      <c r="J19" s="169">
        <f t="shared" ref="J19" si="10">IFERROR(E19/$Q19,0)</f>
        <v>0.77008652657601973</v>
      </c>
      <c r="K19" s="169">
        <f t="shared" ref="K19" si="11">IFERROR(F19/$Q19,0)</f>
        <v>0.68751545117428925</v>
      </c>
      <c r="L19" s="427">
        <f t="shared" ref="L19" si="12">IFERROR(G19/$Q19,0)</f>
        <v>0.71495673671199012</v>
      </c>
      <c r="M19" s="167" t="s">
        <v>308</v>
      </c>
      <c r="N19" s="168">
        <v>410000</v>
      </c>
      <c r="O19" s="356" t="s">
        <v>309</v>
      </c>
      <c r="P19" s="654">
        <v>399000</v>
      </c>
      <c r="Q19" s="657">
        <f t="shared" ref="Q19" si="13">AVERAGE(N19,P19)</f>
        <v>404500</v>
      </c>
      <c r="R19" s="14"/>
      <c r="S19" s="15"/>
    </row>
  </sheetData>
  <sheetProtection algorithmName="SHA-512" hashValue="tU2swJNDHojSndbTusTFxUq9nPN7WXBDU/ADawWLqCVHvFP3tR0BR/XQhz8Vi5kUjswS7pYH0SNfFRysImDwJA==" saltValue="pUvD7IFooGcTvAEQvl2qMQ==" spinCount="100000" sheet="1" objects="1" scenarios="1"/>
  <mergeCells count="11">
    <mergeCell ref="A16:A19"/>
    <mergeCell ref="Q14:Q15"/>
    <mergeCell ref="D4:F4"/>
    <mergeCell ref="O14:P14"/>
    <mergeCell ref="A14:A15"/>
    <mergeCell ref="B14:B15"/>
    <mergeCell ref="M14:N14"/>
    <mergeCell ref="C14:G14"/>
    <mergeCell ref="H14:L14"/>
    <mergeCell ref="A7:O9"/>
    <mergeCell ref="A12:D12"/>
  </mergeCells>
  <pageMargins left="0.7" right="0.7" top="0.75" bottom="0.75" header="0.51180555555555551" footer="0.51180555555555551"/>
  <pageSetup scale="50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B9277-86EC-48E1-BF7D-B9CA0BC76F0B}">
  <sheetPr>
    <tabColor theme="4" tint="0.39997558519241921"/>
    <pageSetUpPr fitToPage="1"/>
  </sheetPr>
  <dimension ref="A2:O23"/>
  <sheetViews>
    <sheetView zoomScale="90" zoomScaleNormal="90" workbookViewId="0">
      <selection activeCell="L30" sqref="L30"/>
    </sheetView>
  </sheetViews>
  <sheetFormatPr baseColWidth="10" defaultRowHeight="15" x14ac:dyDescent="0.25"/>
  <cols>
    <col min="1" max="1" width="38.140625" style="464" bestFit="1" customWidth="1"/>
    <col min="2" max="13" width="13.85546875" style="464" bestFit="1" customWidth="1"/>
    <col min="14" max="14" width="14.85546875" style="464" bestFit="1" customWidth="1"/>
    <col min="15" max="15" width="13.85546875" style="464" bestFit="1" customWidth="1"/>
    <col min="16" max="16384" width="11.42578125" style="464"/>
  </cols>
  <sheetData>
    <row r="2" spans="1:15" ht="15.75" x14ac:dyDescent="0.25">
      <c r="A2" s="743" t="s">
        <v>245</v>
      </c>
      <c r="B2" s="743"/>
      <c r="C2" s="743"/>
      <c r="D2" s="743"/>
    </row>
    <row r="4" spans="1:15" x14ac:dyDescent="0.25">
      <c r="A4" s="465" t="s">
        <v>251</v>
      </c>
      <c r="B4" s="466" t="s">
        <v>229</v>
      </c>
      <c r="C4" s="466" t="s">
        <v>230</v>
      </c>
      <c r="D4" s="466" t="s">
        <v>231</v>
      </c>
      <c r="E4" s="466" t="s">
        <v>232</v>
      </c>
      <c r="F4" s="466" t="s">
        <v>233</v>
      </c>
      <c r="G4" s="466" t="s">
        <v>234</v>
      </c>
      <c r="H4" s="466" t="s">
        <v>235</v>
      </c>
      <c r="I4" s="466" t="s">
        <v>236</v>
      </c>
      <c r="J4" s="466" t="s">
        <v>237</v>
      </c>
      <c r="K4" s="466" t="s">
        <v>238</v>
      </c>
      <c r="L4" s="466" t="s">
        <v>239</v>
      </c>
      <c r="M4" s="466" t="s">
        <v>240</v>
      </c>
    </row>
    <row r="5" spans="1:15" x14ac:dyDescent="0.25">
      <c r="A5" s="467" t="s">
        <v>246</v>
      </c>
      <c r="B5" s="468"/>
      <c r="C5" s="468"/>
      <c r="D5" s="468">
        <f>+'B) Reajuste Tarifas y Ocupación'!$I$30</f>
        <v>50</v>
      </c>
      <c r="E5" s="468">
        <f>+'B) Reajuste Tarifas y Ocupación'!$I$30</f>
        <v>50</v>
      </c>
      <c r="F5" s="468">
        <f>+'B) Reajuste Tarifas y Ocupación'!$I$30</f>
        <v>50</v>
      </c>
      <c r="G5" s="468">
        <f>+'B) Reajuste Tarifas y Ocupación'!$I$30</f>
        <v>50</v>
      </c>
      <c r="H5" s="468">
        <f>+'B) Reajuste Tarifas y Ocupación'!$I$30</f>
        <v>50</v>
      </c>
      <c r="I5" s="468">
        <f>+'B) Reajuste Tarifas y Ocupación'!$I$30</f>
        <v>50</v>
      </c>
      <c r="J5" s="468">
        <f>+'B) Reajuste Tarifas y Ocupación'!$I$30</f>
        <v>50</v>
      </c>
      <c r="K5" s="468">
        <f>+'B) Reajuste Tarifas y Ocupación'!$I$30</f>
        <v>50</v>
      </c>
      <c r="L5" s="468">
        <f>+'B) Reajuste Tarifas y Ocupación'!$I$30</f>
        <v>50</v>
      </c>
      <c r="M5" s="468">
        <f>+'B) Reajuste Tarifas y Ocupación'!$I$30</f>
        <v>50</v>
      </c>
    </row>
    <row r="6" spans="1:15" x14ac:dyDescent="0.25">
      <c r="A6" s="467" t="s">
        <v>247</v>
      </c>
      <c r="B6" s="468">
        <f>+COUNTA('F) Remuneraciones'!$C$11:$C$25)</f>
        <v>12</v>
      </c>
      <c r="C6" s="468">
        <f>+COUNTA('F) Remuneraciones'!$C$11:$C$25)</f>
        <v>12</v>
      </c>
      <c r="D6" s="468">
        <f>+COUNTA('F) Remuneraciones'!$C$11:$C$25)</f>
        <v>12</v>
      </c>
      <c r="E6" s="468">
        <f>+COUNTA('F) Remuneraciones'!$C$11:$C$25)</f>
        <v>12</v>
      </c>
      <c r="F6" s="468">
        <f>+COUNTA('F) Remuneraciones'!$C$11:$C$25)</f>
        <v>12</v>
      </c>
      <c r="G6" s="468">
        <f>+COUNTA('F) Remuneraciones'!$C$11:$C$25)</f>
        <v>12</v>
      </c>
      <c r="H6" s="468">
        <f>+COUNTA('F) Remuneraciones'!$C$11:$C$25)</f>
        <v>12</v>
      </c>
      <c r="I6" s="468">
        <f>+COUNTA('F) Remuneraciones'!$C$11:$C$25)</f>
        <v>12</v>
      </c>
      <c r="J6" s="468">
        <f>+COUNTA('F) Remuneraciones'!$C$11:$C$25)</f>
        <v>12</v>
      </c>
      <c r="K6" s="468">
        <f>+COUNTA('F) Remuneraciones'!$C$11:$C$25)</f>
        <v>12</v>
      </c>
      <c r="L6" s="468">
        <f>+COUNTA('F) Remuneraciones'!$C$11:$C$25)</f>
        <v>12</v>
      </c>
      <c r="M6" s="468">
        <f>+COUNTA('F) Remuneraciones'!$C$11:$C$25)</f>
        <v>12</v>
      </c>
    </row>
    <row r="7" spans="1:15" x14ac:dyDescent="0.25">
      <c r="A7" s="467"/>
      <c r="B7" s="469"/>
      <c r="C7" s="469"/>
      <c r="D7" s="469"/>
      <c r="E7" s="469"/>
      <c r="F7" s="469"/>
      <c r="G7" s="469"/>
      <c r="H7" s="469"/>
      <c r="I7" s="469"/>
      <c r="J7" s="469"/>
      <c r="K7" s="469"/>
      <c r="L7" s="469"/>
      <c r="M7" s="469"/>
    </row>
    <row r="8" spans="1:15" ht="30" x14ac:dyDescent="0.25">
      <c r="A8" s="470" t="str">
        <f>+'A) Resumen Ingresos y Egresos'!A20</f>
        <v>Jardín Infantil Mar y Cielo</v>
      </c>
      <c r="B8" s="466" t="s">
        <v>229</v>
      </c>
      <c r="C8" s="466" t="s">
        <v>230</v>
      </c>
      <c r="D8" s="466" t="s">
        <v>231</v>
      </c>
      <c r="E8" s="466" t="s">
        <v>232</v>
      </c>
      <c r="F8" s="466" t="s">
        <v>233</v>
      </c>
      <c r="G8" s="466" t="s">
        <v>234</v>
      </c>
      <c r="H8" s="466" t="s">
        <v>235</v>
      </c>
      <c r="I8" s="466" t="s">
        <v>236</v>
      </c>
      <c r="J8" s="466" t="s">
        <v>237</v>
      </c>
      <c r="K8" s="466" t="s">
        <v>238</v>
      </c>
      <c r="L8" s="466" t="s">
        <v>239</v>
      </c>
      <c r="M8" s="466" t="s">
        <v>240</v>
      </c>
      <c r="N8" s="466" t="s">
        <v>248</v>
      </c>
    </row>
    <row r="9" spans="1:15" x14ac:dyDescent="0.25">
      <c r="A9" s="471" t="s">
        <v>241</v>
      </c>
      <c r="B9" s="472">
        <f>+'A) Resumen Ingresos y Egresos'!P32</f>
        <v>0</v>
      </c>
      <c r="C9" s="472">
        <f>+'A) Resumen Ingresos y Egresos'!N32*0.7</f>
        <v>6978090</v>
      </c>
      <c r="D9" s="472">
        <f>+'A) Resumen Ingresos y Egresos'!N32*0.3+'A) Resumen Ingresos y Egresos'!O32*0.1</f>
        <v>12959310</v>
      </c>
      <c r="E9" s="472">
        <f>+'A) Resumen Ingresos y Egresos'!$O$32*0.1</f>
        <v>9968700</v>
      </c>
      <c r="F9" s="472">
        <f>+'A) Resumen Ingresos y Egresos'!$O$32*0.1</f>
        <v>9968700</v>
      </c>
      <c r="G9" s="472">
        <f>+'A) Resumen Ingresos y Egresos'!$O$32*0.1</f>
        <v>9968700</v>
      </c>
      <c r="H9" s="472">
        <f>+'A) Resumen Ingresos y Egresos'!$O$32*0.1</f>
        <v>9968700</v>
      </c>
      <c r="I9" s="472">
        <f>+'A) Resumen Ingresos y Egresos'!$O$32*0.1</f>
        <v>9968700</v>
      </c>
      <c r="J9" s="472">
        <f>+'A) Resumen Ingresos y Egresos'!$O$32*0.1</f>
        <v>9968700</v>
      </c>
      <c r="K9" s="472">
        <f>+'A) Resumen Ingresos y Egresos'!$O$32*0.1</f>
        <v>9968700</v>
      </c>
      <c r="L9" s="472">
        <f>+'A) Resumen Ingresos y Egresos'!$O$32*0.1</f>
        <v>9968700</v>
      </c>
      <c r="M9" s="472">
        <f>+'A) Resumen Ingresos y Egresos'!$O$32*0.1</f>
        <v>9968700</v>
      </c>
      <c r="N9" s="473">
        <f>SUM(B9:M9)</f>
        <v>109655700</v>
      </c>
    </row>
    <row r="10" spans="1:15" x14ac:dyDescent="0.25">
      <c r="A10" s="471" t="s">
        <v>242</v>
      </c>
      <c r="B10" s="472">
        <f>SUM('F) Remuneraciones'!$L$11)/12</f>
        <v>1942219.5833333333</v>
      </c>
      <c r="C10" s="472">
        <f>SUM('F) Remuneraciones'!$L$11)/12</f>
        <v>1942219.5833333333</v>
      </c>
      <c r="D10" s="472">
        <f>SUM('F) Remuneraciones'!$L$11)/12</f>
        <v>1942219.5833333333</v>
      </c>
      <c r="E10" s="472">
        <f>SUM('F) Remuneraciones'!$L$11)/12</f>
        <v>1942219.5833333333</v>
      </c>
      <c r="F10" s="472">
        <f>SUM('F) Remuneraciones'!$L$11)/12</f>
        <v>1942219.5833333333</v>
      </c>
      <c r="G10" s="472">
        <f>SUM('F) Remuneraciones'!$L$11)/12</f>
        <v>1942219.5833333333</v>
      </c>
      <c r="H10" s="472">
        <f>SUM('F) Remuneraciones'!$L$11)/12</f>
        <v>1942219.5833333333</v>
      </c>
      <c r="I10" s="472">
        <f>SUM('F) Remuneraciones'!$L$11)/12</f>
        <v>1942219.5833333333</v>
      </c>
      <c r="J10" s="472">
        <f>SUM('F) Remuneraciones'!$L$11)/12</f>
        <v>1942219.5833333333</v>
      </c>
      <c r="K10" s="472">
        <f>SUM('F) Remuneraciones'!$L$11)/12</f>
        <v>1942219.5833333333</v>
      </c>
      <c r="L10" s="472">
        <f>SUM('F) Remuneraciones'!$L$11)/12</f>
        <v>1942219.5833333333</v>
      </c>
      <c r="M10" s="472">
        <f>SUM('F) Remuneraciones'!$L$11)/12</f>
        <v>1942219.5833333333</v>
      </c>
      <c r="N10" s="473">
        <f t="shared" ref="N10:N11" si="0">SUM(B10:M10)</f>
        <v>23306634.999999996</v>
      </c>
    </row>
    <row r="11" spans="1:15" x14ac:dyDescent="0.25">
      <c r="A11" s="471" t="s">
        <v>243</v>
      </c>
      <c r="B11" s="472">
        <f>(+'C) Costos Directos'!$H$75-'C) Costos Directos'!$D$14)/12</f>
        <v>4814187.9333333336</v>
      </c>
      <c r="C11" s="472">
        <f>(+'C) Costos Directos'!$H$75-'C) Costos Directos'!$D$14)/12</f>
        <v>4814187.9333333336</v>
      </c>
      <c r="D11" s="472">
        <f>(+'C) Costos Directos'!$H$75-'C) Costos Directos'!$D$14)/12</f>
        <v>4814187.9333333336</v>
      </c>
      <c r="E11" s="472">
        <f>(+'C) Costos Directos'!$H$75-'C) Costos Directos'!$D$14)/12</f>
        <v>4814187.9333333336</v>
      </c>
      <c r="F11" s="472">
        <f>(+'C) Costos Directos'!$H$75-'C) Costos Directos'!$D$14)/12</f>
        <v>4814187.9333333336</v>
      </c>
      <c r="G11" s="472">
        <f>(+'C) Costos Directos'!$H$75-'C) Costos Directos'!$D$14)/12</f>
        <v>4814187.9333333336</v>
      </c>
      <c r="H11" s="472">
        <f>(+'C) Costos Directos'!$H$75-'C) Costos Directos'!$D$14)/12</f>
        <v>4814187.9333333336</v>
      </c>
      <c r="I11" s="472">
        <f>(+'C) Costos Directos'!$H$75-'C) Costos Directos'!$D$14)/12</f>
        <v>4814187.9333333336</v>
      </c>
      <c r="J11" s="472">
        <f>(+'C) Costos Directos'!$H$75-'C) Costos Directos'!$D$14)/12</f>
        <v>4814187.9333333336</v>
      </c>
      <c r="K11" s="472">
        <f>(+'C) Costos Directos'!$H$75-'C) Costos Directos'!$D$14)/12</f>
        <v>4814187.9333333336</v>
      </c>
      <c r="L11" s="472">
        <f>(+'C) Costos Directos'!$H$75-'C) Costos Directos'!$D$14)/12</f>
        <v>4814187.9333333336</v>
      </c>
      <c r="M11" s="472">
        <f>(+'C) Costos Directos'!$H$75-'C) Costos Directos'!$D$14)/12</f>
        <v>4814187.9333333336</v>
      </c>
      <c r="N11" s="473">
        <f t="shared" si="0"/>
        <v>57770255.200000018</v>
      </c>
      <c r="O11" s="472"/>
    </row>
    <row r="12" spans="1:15" x14ac:dyDescent="0.25">
      <c r="A12" s="474" t="s">
        <v>249</v>
      </c>
      <c r="B12" s="475">
        <f>+B9-B10-B11</f>
        <v>-6756407.5166666666</v>
      </c>
      <c r="C12" s="475">
        <f t="shared" ref="C12:M12" si="1">+C9-C10-C11</f>
        <v>221682.4833333334</v>
      </c>
      <c r="D12" s="475">
        <f t="shared" si="1"/>
        <v>6202902.4833333325</v>
      </c>
      <c r="E12" s="475">
        <f t="shared" si="1"/>
        <v>3212292.4833333334</v>
      </c>
      <c r="F12" s="475">
        <f t="shared" si="1"/>
        <v>3212292.4833333334</v>
      </c>
      <c r="G12" s="475">
        <f t="shared" si="1"/>
        <v>3212292.4833333334</v>
      </c>
      <c r="H12" s="475">
        <f t="shared" si="1"/>
        <v>3212292.4833333334</v>
      </c>
      <c r="I12" s="475">
        <f t="shared" si="1"/>
        <v>3212292.4833333334</v>
      </c>
      <c r="J12" s="475">
        <f t="shared" si="1"/>
        <v>3212292.4833333334</v>
      </c>
      <c r="K12" s="475">
        <f t="shared" si="1"/>
        <v>3212292.4833333334</v>
      </c>
      <c r="L12" s="475">
        <f t="shared" si="1"/>
        <v>3212292.4833333334</v>
      </c>
      <c r="M12" s="475">
        <f t="shared" si="1"/>
        <v>3212292.4833333334</v>
      </c>
      <c r="N12" s="475">
        <f>+N9-N10-N11</f>
        <v>28578809.799999982</v>
      </c>
      <c r="O12" s="472"/>
    </row>
    <row r="15" spans="1:15" x14ac:dyDescent="0.25">
      <c r="A15" s="465" t="s">
        <v>251</v>
      </c>
      <c r="B15" s="466" t="s">
        <v>229</v>
      </c>
      <c r="C15" s="466" t="s">
        <v>230</v>
      </c>
      <c r="D15" s="466" t="s">
        <v>231</v>
      </c>
      <c r="E15" s="466" t="s">
        <v>232</v>
      </c>
      <c r="F15" s="466" t="s">
        <v>233</v>
      </c>
      <c r="G15" s="466" t="s">
        <v>234</v>
      </c>
      <c r="H15" s="466" t="s">
        <v>235</v>
      </c>
      <c r="I15" s="466" t="s">
        <v>236</v>
      </c>
      <c r="J15" s="466" t="s">
        <v>237</v>
      </c>
      <c r="K15" s="466" t="s">
        <v>238</v>
      </c>
      <c r="L15" s="466" t="s">
        <v>239</v>
      </c>
      <c r="M15" s="466" t="s">
        <v>240</v>
      </c>
    </row>
    <row r="16" spans="1:15" x14ac:dyDescent="0.25">
      <c r="A16" s="467" t="s">
        <v>246</v>
      </c>
      <c r="B16" s="468"/>
      <c r="C16" s="468"/>
      <c r="D16" s="468">
        <f>+'B) Reajuste Tarifas y Ocupación'!$I$33</f>
        <v>13</v>
      </c>
      <c r="E16" s="468">
        <f>+'B) Reajuste Tarifas y Ocupación'!$I$33</f>
        <v>13</v>
      </c>
      <c r="F16" s="468">
        <f>+'B) Reajuste Tarifas y Ocupación'!$I$33</f>
        <v>13</v>
      </c>
      <c r="G16" s="468">
        <f>+'B) Reajuste Tarifas y Ocupación'!$I$33</f>
        <v>13</v>
      </c>
      <c r="H16" s="468">
        <f>+'B) Reajuste Tarifas y Ocupación'!$I$33</f>
        <v>13</v>
      </c>
      <c r="I16" s="468">
        <f>+'B) Reajuste Tarifas y Ocupación'!$I$33</f>
        <v>13</v>
      </c>
      <c r="J16" s="468">
        <f>+'B) Reajuste Tarifas y Ocupación'!$I$33</f>
        <v>13</v>
      </c>
      <c r="K16" s="468">
        <f>+'B) Reajuste Tarifas y Ocupación'!$I$33</f>
        <v>13</v>
      </c>
      <c r="L16" s="468">
        <f>+'B) Reajuste Tarifas y Ocupación'!$I$33</f>
        <v>13</v>
      </c>
      <c r="M16" s="468">
        <f>+'B) Reajuste Tarifas y Ocupación'!$I$33</f>
        <v>13</v>
      </c>
    </row>
    <row r="17" spans="1:14" x14ac:dyDescent="0.25">
      <c r="A17" s="467" t="s">
        <v>247</v>
      </c>
      <c r="B17" s="468">
        <f>+COUNTA('F) Remuneraciones'!$C$26:$C$40)</f>
        <v>5</v>
      </c>
      <c r="C17" s="468">
        <f>+COUNTA('F) Remuneraciones'!$C$26:$C$40)</f>
        <v>5</v>
      </c>
      <c r="D17" s="468">
        <f>+COUNTA('F) Remuneraciones'!$C$26:$C$40)</f>
        <v>5</v>
      </c>
      <c r="E17" s="468">
        <f>+COUNTA('F) Remuneraciones'!$C$26:$C$40)</f>
        <v>5</v>
      </c>
      <c r="F17" s="468">
        <f>+COUNTA('F) Remuneraciones'!$C$26:$C$40)</f>
        <v>5</v>
      </c>
      <c r="G17" s="468">
        <f>+COUNTA('F) Remuneraciones'!$C$26:$C$40)</f>
        <v>5</v>
      </c>
      <c r="H17" s="468">
        <f>+COUNTA('F) Remuneraciones'!$C$26:$C$40)</f>
        <v>5</v>
      </c>
      <c r="I17" s="468">
        <f>+COUNTA('F) Remuneraciones'!$C$26:$C$40)</f>
        <v>5</v>
      </c>
      <c r="J17" s="468">
        <f>+COUNTA('F) Remuneraciones'!$C$26:$C$40)</f>
        <v>5</v>
      </c>
      <c r="K17" s="468">
        <f>+COUNTA('F) Remuneraciones'!$C$26:$C$40)</f>
        <v>5</v>
      </c>
      <c r="L17" s="468">
        <f>+COUNTA('F) Remuneraciones'!$C$26:$C$40)</f>
        <v>5</v>
      </c>
      <c r="M17" s="468">
        <f>+COUNTA('F) Remuneraciones'!$C$26:$C$40)</f>
        <v>5</v>
      </c>
    </row>
    <row r="18" spans="1:14" x14ac:dyDescent="0.25">
      <c r="A18" s="467"/>
      <c r="B18" s="469"/>
      <c r="C18" s="469"/>
      <c r="D18" s="469"/>
      <c r="E18" s="469"/>
      <c r="F18" s="469"/>
      <c r="G18" s="469"/>
      <c r="H18" s="469"/>
      <c r="I18" s="469"/>
      <c r="J18" s="469"/>
      <c r="K18" s="469"/>
      <c r="L18" s="469"/>
      <c r="M18" s="469"/>
    </row>
    <row r="19" spans="1:14" ht="30" x14ac:dyDescent="0.25">
      <c r="A19" s="470" t="str">
        <f>+'A) Resumen Ingresos y Egresos'!A33</f>
        <v>Sala Cuna Mar y Cielo Diurna</v>
      </c>
      <c r="B19" s="466" t="s">
        <v>229</v>
      </c>
      <c r="C19" s="466" t="s">
        <v>230</v>
      </c>
      <c r="D19" s="466" t="s">
        <v>231</v>
      </c>
      <c r="E19" s="466" t="s">
        <v>232</v>
      </c>
      <c r="F19" s="466" t="s">
        <v>233</v>
      </c>
      <c r="G19" s="466" t="s">
        <v>234</v>
      </c>
      <c r="H19" s="466" t="s">
        <v>235</v>
      </c>
      <c r="I19" s="466" t="s">
        <v>236</v>
      </c>
      <c r="J19" s="466" t="s">
        <v>237</v>
      </c>
      <c r="K19" s="466" t="s">
        <v>238</v>
      </c>
      <c r="L19" s="466" t="s">
        <v>239</v>
      </c>
      <c r="M19" s="466" t="s">
        <v>240</v>
      </c>
      <c r="N19" s="466" t="s">
        <v>248</v>
      </c>
    </row>
    <row r="20" spans="1:14" x14ac:dyDescent="0.25">
      <c r="A20" s="471" t="s">
        <v>241</v>
      </c>
      <c r="B20" s="472">
        <f>(+'A) Resumen Ingresos y Egresos'!$N$42+'A) Resumen Ingresos y Egresos'!$O$42)/12</f>
        <v>5688800</v>
      </c>
      <c r="C20" s="472">
        <f>(+'A) Resumen Ingresos y Egresos'!$N$42+'A) Resumen Ingresos y Egresos'!$O$42)/12</f>
        <v>5688800</v>
      </c>
      <c r="D20" s="472">
        <f>(+'A) Resumen Ingresos y Egresos'!$N$42+'A) Resumen Ingresos y Egresos'!$O$42)/12</f>
        <v>5688800</v>
      </c>
      <c r="E20" s="472">
        <f>(+'A) Resumen Ingresos y Egresos'!$N$42+'A) Resumen Ingresos y Egresos'!$O$42)/12</f>
        <v>5688800</v>
      </c>
      <c r="F20" s="472">
        <f>(+'A) Resumen Ingresos y Egresos'!$N$42+'A) Resumen Ingresos y Egresos'!$O$42)/12</f>
        <v>5688800</v>
      </c>
      <c r="G20" s="472">
        <f>(+'A) Resumen Ingresos y Egresos'!$N$42+'A) Resumen Ingresos y Egresos'!$O$42)/12</f>
        <v>5688800</v>
      </c>
      <c r="H20" s="472">
        <f>(+'A) Resumen Ingresos y Egresos'!$N$42+'A) Resumen Ingresos y Egresos'!$O$42)/12</f>
        <v>5688800</v>
      </c>
      <c r="I20" s="472">
        <f>(+'A) Resumen Ingresos y Egresos'!$N$42+'A) Resumen Ingresos y Egresos'!$O$42)/12</f>
        <v>5688800</v>
      </c>
      <c r="J20" s="472">
        <f>(+'A) Resumen Ingresos y Egresos'!$N$42+'A) Resumen Ingresos y Egresos'!$O$42)/12</f>
        <v>5688800</v>
      </c>
      <c r="K20" s="472">
        <f>(+'A) Resumen Ingresos y Egresos'!$N$42+'A) Resumen Ingresos y Egresos'!$O$42)/12</f>
        <v>5688800</v>
      </c>
      <c r="L20" s="472">
        <f>(+'A) Resumen Ingresos y Egresos'!$N$42+'A) Resumen Ingresos y Egresos'!$O$42)/12</f>
        <v>5688800</v>
      </c>
      <c r="M20" s="472">
        <f>(+'A) Resumen Ingresos y Egresos'!$N$42+'A) Resumen Ingresos y Egresos'!$O$42)/12</f>
        <v>5688800</v>
      </c>
      <c r="N20" s="473">
        <f>SUM(B20:M20)</f>
        <v>68265600</v>
      </c>
    </row>
    <row r="21" spans="1:14" x14ac:dyDescent="0.25">
      <c r="A21" s="471" t="s">
        <v>242</v>
      </c>
      <c r="B21" s="472">
        <f>SUM('F) Remuneraciones'!$L$26)/12</f>
        <v>2122743.3333333335</v>
      </c>
      <c r="C21" s="472">
        <f>SUM('F) Remuneraciones'!$L$26)/12</f>
        <v>2122743.3333333335</v>
      </c>
      <c r="D21" s="472">
        <f>SUM('F) Remuneraciones'!$L$26)/12</f>
        <v>2122743.3333333335</v>
      </c>
      <c r="E21" s="472">
        <f>SUM('F) Remuneraciones'!$L$26)/12</f>
        <v>2122743.3333333335</v>
      </c>
      <c r="F21" s="472">
        <f>SUM('F) Remuneraciones'!$L$26)/12</f>
        <v>2122743.3333333335</v>
      </c>
      <c r="G21" s="472">
        <f>SUM('F) Remuneraciones'!$L$26)/12</f>
        <v>2122743.3333333335</v>
      </c>
      <c r="H21" s="472">
        <f>SUM('F) Remuneraciones'!$L$26)/12</f>
        <v>2122743.3333333335</v>
      </c>
      <c r="I21" s="472">
        <f>SUM('F) Remuneraciones'!$L$26)/12</f>
        <v>2122743.3333333335</v>
      </c>
      <c r="J21" s="472">
        <f>SUM('F) Remuneraciones'!$L$26)/12</f>
        <v>2122743.3333333335</v>
      </c>
      <c r="K21" s="472">
        <f>SUM('F) Remuneraciones'!$L$26)/12</f>
        <v>2122743.3333333335</v>
      </c>
      <c r="L21" s="472">
        <f>SUM('F) Remuneraciones'!$L$26)/12</f>
        <v>2122743.3333333335</v>
      </c>
      <c r="M21" s="472">
        <f>SUM('F) Remuneraciones'!$L$26)/12</f>
        <v>2122743.3333333335</v>
      </c>
      <c r="N21" s="473">
        <f t="shared" ref="N21:N22" si="2">SUM(B21:M21)</f>
        <v>25472919.999999996</v>
      </c>
    </row>
    <row r="22" spans="1:14" x14ac:dyDescent="0.25">
      <c r="A22" s="471" t="s">
        <v>243</v>
      </c>
      <c r="B22" s="472">
        <f>(+'C) Costos Directos'!$H$141-'C) Costos Directos'!$D$80)/12</f>
        <v>1316213.2333333332</v>
      </c>
      <c r="C22" s="472">
        <f>(+'C) Costos Directos'!$H$141-'C) Costos Directos'!$D$80)/12</f>
        <v>1316213.2333333332</v>
      </c>
      <c r="D22" s="472">
        <f>(+'C) Costos Directos'!$H$141-'C) Costos Directos'!$D$80)/12</f>
        <v>1316213.2333333332</v>
      </c>
      <c r="E22" s="472">
        <f>(+'C) Costos Directos'!$H$141-'C) Costos Directos'!$D$80)/12</f>
        <v>1316213.2333333332</v>
      </c>
      <c r="F22" s="472">
        <f>(+'C) Costos Directos'!$H$141-'C) Costos Directos'!$D$80)/12</f>
        <v>1316213.2333333332</v>
      </c>
      <c r="G22" s="472">
        <f>(+'C) Costos Directos'!$H$141-'C) Costos Directos'!$D$80)/12</f>
        <v>1316213.2333333332</v>
      </c>
      <c r="H22" s="472">
        <f>(+'C) Costos Directos'!$H$141-'C) Costos Directos'!$D$80)/12</f>
        <v>1316213.2333333332</v>
      </c>
      <c r="I22" s="472">
        <f>(+'C) Costos Directos'!$H$141-'C) Costos Directos'!$D$80)/12</f>
        <v>1316213.2333333332</v>
      </c>
      <c r="J22" s="472">
        <f>(+'C) Costos Directos'!$H$141-'C) Costos Directos'!$D$80)/12</f>
        <v>1316213.2333333332</v>
      </c>
      <c r="K22" s="472">
        <f>(+'C) Costos Directos'!$H$141-'C) Costos Directos'!$D$80)/12</f>
        <v>1316213.2333333332</v>
      </c>
      <c r="L22" s="472">
        <f>(+'C) Costos Directos'!$H$141-'C) Costos Directos'!$D$80)/12</f>
        <v>1316213.2333333332</v>
      </c>
      <c r="M22" s="472">
        <f>(+'C) Costos Directos'!$H$141-'C) Costos Directos'!$D$80)/12</f>
        <v>1316213.2333333332</v>
      </c>
      <c r="N22" s="473">
        <f t="shared" si="2"/>
        <v>15794558.799999995</v>
      </c>
    </row>
    <row r="23" spans="1:14" x14ac:dyDescent="0.25">
      <c r="A23" s="474" t="s">
        <v>249</v>
      </c>
      <c r="B23" s="475">
        <f>+B20-B21-B22</f>
        <v>2249843.4333333336</v>
      </c>
      <c r="C23" s="475">
        <f t="shared" ref="C23" si="3">+C20-C21-C22</f>
        <v>2249843.4333333336</v>
      </c>
      <c r="D23" s="475">
        <f t="shared" ref="D23" si="4">+D20-D21-D22</f>
        <v>2249843.4333333336</v>
      </c>
      <c r="E23" s="475">
        <f t="shared" ref="E23" si="5">+E20-E21-E22</f>
        <v>2249843.4333333336</v>
      </c>
      <c r="F23" s="475">
        <f t="shared" ref="F23" si="6">+F20-F21-F22</f>
        <v>2249843.4333333336</v>
      </c>
      <c r="G23" s="475">
        <f t="shared" ref="G23" si="7">+G20-G21-G22</f>
        <v>2249843.4333333336</v>
      </c>
      <c r="H23" s="475">
        <f t="shared" ref="H23" si="8">+H20-H21-H22</f>
        <v>2249843.4333333336</v>
      </c>
      <c r="I23" s="475">
        <f t="shared" ref="I23" si="9">+I20-I21-I22</f>
        <v>2249843.4333333336</v>
      </c>
      <c r="J23" s="475">
        <f t="shared" ref="J23" si="10">+J20-J21-J22</f>
        <v>2249843.4333333336</v>
      </c>
      <c r="K23" s="475">
        <f t="shared" ref="K23" si="11">+K20-K21-K22</f>
        <v>2249843.4333333336</v>
      </c>
      <c r="L23" s="475">
        <f t="shared" ref="L23" si="12">+L20-L21-L22</f>
        <v>2249843.4333333336</v>
      </c>
      <c r="M23" s="475">
        <f t="shared" ref="M23" si="13">+M20-M21-M22</f>
        <v>2249843.4333333336</v>
      </c>
      <c r="N23" s="475">
        <f>+N20-N21-N22</f>
        <v>26998121.200000003</v>
      </c>
    </row>
  </sheetData>
  <sheetProtection algorithmName="SHA-512" hashValue="Cz/ibL1kY7QutM1FBUE227BUdnac0XfD8OiwJjCwgu95yJiH2US3EWRl5WsxKMEOxnKF0ACnw5OXrwb/FFqgTA==" saltValue="/dpuAHLeUxwwrWq2djVkNg==" spinCount="100000" sheet="1" objects="1" scenarios="1"/>
  <mergeCells count="1">
    <mergeCell ref="A2:D2"/>
  </mergeCells>
  <pageMargins left="0.7" right="0.7" top="0.75" bottom="0.75" header="0.3" footer="0.3"/>
  <pageSetup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00FF"/>
  </sheetPr>
  <dimension ref="B1:S56"/>
  <sheetViews>
    <sheetView showGridLines="0" zoomScale="80" zoomScaleNormal="80" workbookViewId="0">
      <selection activeCell="O41" sqref="O41"/>
    </sheetView>
  </sheetViews>
  <sheetFormatPr baseColWidth="10" defaultColWidth="11.42578125" defaultRowHeight="12.75" x14ac:dyDescent="0.2"/>
  <sheetData>
    <row r="1" spans="2:11" x14ac:dyDescent="0.2">
      <c r="H1" s="33"/>
    </row>
    <row r="2" spans="2:11" x14ac:dyDescent="0.2">
      <c r="H2" s="33" t="s">
        <v>85</v>
      </c>
    </row>
    <row r="5" spans="2:11" x14ac:dyDescent="0.2">
      <c r="B5" s="700" t="s">
        <v>159</v>
      </c>
      <c r="C5" s="700"/>
      <c r="D5" s="700"/>
      <c r="E5" s="700"/>
      <c r="F5" s="700"/>
    </row>
    <row r="7" spans="2:11" x14ac:dyDescent="0.2">
      <c r="C7" s="170" t="s">
        <v>144</v>
      </c>
      <c r="D7" s="170"/>
      <c r="E7" s="170"/>
      <c r="F7" s="170"/>
      <c r="G7" s="170"/>
      <c r="H7" s="170"/>
      <c r="I7" s="170"/>
      <c r="J7" s="170"/>
      <c r="K7" s="170"/>
    </row>
    <row r="9" spans="2:11" x14ac:dyDescent="0.2">
      <c r="C9" s="170" t="s">
        <v>145</v>
      </c>
      <c r="D9" s="170"/>
      <c r="E9" s="170"/>
      <c r="F9" s="170"/>
      <c r="G9" s="170"/>
      <c r="H9" s="170"/>
    </row>
    <row r="11" spans="2:11" x14ac:dyDescent="0.2">
      <c r="B11" s="700" t="s">
        <v>160</v>
      </c>
      <c r="C11" s="700"/>
      <c r="D11" s="700"/>
      <c r="E11" s="700"/>
      <c r="F11" s="700"/>
    </row>
    <row r="13" spans="2:11" x14ac:dyDescent="0.2">
      <c r="C13" s="171" t="s">
        <v>146</v>
      </c>
      <c r="D13" s="171"/>
      <c r="E13" s="171"/>
      <c r="F13" s="171"/>
      <c r="G13" s="171"/>
      <c r="H13" s="171"/>
    </row>
    <row r="15" spans="2:11" x14ac:dyDescent="0.2">
      <c r="C15" s="171" t="s">
        <v>147</v>
      </c>
      <c r="D15" s="171"/>
      <c r="E15" s="171"/>
      <c r="F15" s="171"/>
      <c r="G15" s="171"/>
      <c r="H15" s="171"/>
    </row>
    <row r="19" spans="2:16" x14ac:dyDescent="0.2">
      <c r="B19" s="700" t="s">
        <v>161</v>
      </c>
      <c r="C19" s="700"/>
      <c r="D19" s="700"/>
      <c r="E19" s="700"/>
      <c r="F19" s="700"/>
    </row>
    <row r="21" spans="2:16" x14ac:dyDescent="0.2">
      <c r="C21" s="171" t="s">
        <v>149</v>
      </c>
      <c r="D21" s="171"/>
      <c r="E21" s="171"/>
      <c r="F21" s="172"/>
      <c r="G21" s="172"/>
      <c r="H21" s="172"/>
    </row>
    <row r="22" spans="2:16" x14ac:dyDescent="0.2">
      <c r="C22" s="701"/>
      <c r="D22" s="701"/>
      <c r="E22" s="701"/>
      <c r="F22" s="701"/>
      <c r="G22" s="701"/>
      <c r="H22" s="701"/>
      <c r="I22" s="701"/>
      <c r="J22" s="701"/>
      <c r="K22" s="701"/>
    </row>
    <row r="24" spans="2:16" x14ac:dyDescent="0.2">
      <c r="B24" s="700" t="s">
        <v>162</v>
      </c>
      <c r="C24" s="700"/>
      <c r="D24" s="700"/>
      <c r="E24" s="700"/>
      <c r="F24" s="700"/>
    </row>
    <row r="26" spans="2:16" x14ac:dyDescent="0.2">
      <c r="C26" s="173" t="s">
        <v>150</v>
      </c>
      <c r="D26" s="173"/>
      <c r="E26" s="173"/>
      <c r="F26" s="173"/>
      <c r="G26" s="173"/>
      <c r="H26" s="173"/>
      <c r="I26" s="173"/>
      <c r="J26" s="173"/>
    </row>
    <row r="27" spans="2:16" ht="12.75" customHeight="1" x14ac:dyDescent="0.2">
      <c r="C27" s="702" t="s">
        <v>151</v>
      </c>
      <c r="D27" s="702"/>
      <c r="E27" s="702"/>
      <c r="F27" s="702"/>
      <c r="G27" s="702"/>
      <c r="H27" s="702"/>
      <c r="I27" s="702"/>
      <c r="J27" s="702"/>
      <c r="K27" s="702"/>
      <c r="L27" s="702"/>
      <c r="M27" s="702"/>
    </row>
    <row r="28" spans="2:16" ht="12.75" customHeight="1" x14ac:dyDescent="0.2">
      <c r="C28" s="702"/>
      <c r="D28" s="702"/>
      <c r="E28" s="702"/>
      <c r="F28" s="702"/>
      <c r="G28" s="702"/>
      <c r="H28" s="702"/>
      <c r="I28" s="702"/>
      <c r="J28" s="702"/>
      <c r="K28" s="702"/>
      <c r="L28" s="702"/>
      <c r="M28" s="702"/>
    </row>
    <row r="29" spans="2:16" ht="12.75" customHeight="1" x14ac:dyDescent="0.2">
      <c r="C29" s="173" t="s">
        <v>152</v>
      </c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2"/>
    </row>
    <row r="30" spans="2:16" ht="12.75" customHeight="1" x14ac:dyDescent="0.2">
      <c r="C30" s="173"/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172"/>
    </row>
    <row r="31" spans="2:16" ht="12.75" customHeight="1" x14ac:dyDescent="0.2">
      <c r="C31" s="177" t="s">
        <v>153</v>
      </c>
      <c r="D31" s="174"/>
      <c r="E31" s="174"/>
      <c r="F31" s="176"/>
      <c r="G31" s="174"/>
      <c r="H31" s="174"/>
      <c r="I31" s="174"/>
      <c r="J31" s="174"/>
      <c r="K31" s="174"/>
      <c r="L31" s="174"/>
      <c r="M31" s="174"/>
      <c r="N31" s="172"/>
      <c r="O31" s="172"/>
      <c r="P31" s="172"/>
    </row>
    <row r="32" spans="2:16" ht="12.75" customHeight="1" x14ac:dyDescent="0.2">
      <c r="C32" s="175"/>
      <c r="D32" s="175"/>
      <c r="E32" s="175"/>
      <c r="F32" s="175"/>
      <c r="G32" s="175"/>
      <c r="H32" s="175"/>
      <c r="I32" s="174"/>
      <c r="J32" s="174"/>
      <c r="K32" s="174"/>
      <c r="L32" s="174"/>
      <c r="M32" s="174"/>
      <c r="N32" s="172"/>
    </row>
    <row r="33" spans="2:19" ht="12.75" customHeight="1" x14ac:dyDescent="0.2">
      <c r="C33" s="703" t="s">
        <v>154</v>
      </c>
      <c r="D33" s="703"/>
      <c r="E33" s="703"/>
      <c r="F33" s="703"/>
      <c r="G33" s="703"/>
      <c r="H33" s="703"/>
      <c r="I33" s="703"/>
      <c r="J33" s="703"/>
      <c r="K33" s="703"/>
      <c r="L33" s="703"/>
      <c r="M33" s="703"/>
      <c r="N33" s="172"/>
    </row>
    <row r="34" spans="2:19" ht="12.75" customHeight="1" x14ac:dyDescent="0.2">
      <c r="C34" s="136"/>
      <c r="D34" s="136"/>
      <c r="E34" s="136"/>
      <c r="F34" s="136"/>
      <c r="G34" s="136"/>
      <c r="H34" s="136"/>
      <c r="I34" s="173"/>
      <c r="J34" s="173"/>
      <c r="K34" s="173"/>
      <c r="L34" s="173"/>
      <c r="M34" s="173"/>
      <c r="N34" s="172"/>
    </row>
    <row r="35" spans="2:19" ht="12.75" customHeight="1" x14ac:dyDescent="0.2">
      <c r="C35" s="174" t="s">
        <v>155</v>
      </c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2"/>
    </row>
    <row r="36" spans="2:19" ht="12.75" customHeight="1" x14ac:dyDescent="0.2">
      <c r="C36" s="175"/>
      <c r="D36" s="175"/>
      <c r="E36" s="175"/>
      <c r="F36" s="175"/>
      <c r="G36" s="175"/>
      <c r="H36" s="175"/>
      <c r="I36" s="174"/>
      <c r="J36" s="174"/>
      <c r="K36" s="174"/>
      <c r="L36" s="174"/>
      <c r="M36" s="174"/>
      <c r="N36" s="172"/>
    </row>
    <row r="37" spans="2:19" ht="12.75" customHeight="1" x14ac:dyDescent="0.2"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</row>
    <row r="38" spans="2:19" ht="12.75" customHeight="1" x14ac:dyDescent="0.2"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</row>
    <row r="39" spans="2:19" ht="12.75" customHeight="1" x14ac:dyDescent="0.2">
      <c r="B39" s="177" t="s">
        <v>163</v>
      </c>
      <c r="C39" s="173"/>
      <c r="D39" s="101"/>
      <c r="E39" s="101"/>
      <c r="F39" s="101"/>
      <c r="G39" s="101"/>
      <c r="H39" s="101"/>
      <c r="I39" s="101"/>
      <c r="J39" s="101"/>
      <c r="K39" s="101"/>
      <c r="L39" s="101"/>
      <c r="M39" s="101"/>
    </row>
    <row r="40" spans="2:19" x14ac:dyDescent="0.2">
      <c r="O40" s="701"/>
      <c r="P40" s="701"/>
      <c r="Q40" s="701"/>
      <c r="R40" s="701"/>
      <c r="S40" s="701"/>
    </row>
    <row r="41" spans="2:19" x14ac:dyDescent="0.2">
      <c r="C41" s="704" t="s">
        <v>156</v>
      </c>
      <c r="D41" s="704"/>
      <c r="E41" s="704"/>
      <c r="F41" s="704"/>
    </row>
    <row r="42" spans="2:19" x14ac:dyDescent="0.2">
      <c r="C42" s="701"/>
      <c r="D42" s="701"/>
      <c r="E42" s="701"/>
      <c r="F42" s="701"/>
      <c r="G42" s="701"/>
      <c r="H42" s="701"/>
      <c r="I42" s="701"/>
      <c r="J42" s="701"/>
    </row>
    <row r="44" spans="2:19" x14ac:dyDescent="0.2">
      <c r="B44" s="700" t="s">
        <v>164</v>
      </c>
      <c r="C44" s="700"/>
      <c r="D44" s="700"/>
      <c r="E44" s="700"/>
      <c r="F44" s="700"/>
    </row>
    <row r="46" spans="2:19" x14ac:dyDescent="0.2">
      <c r="C46" s="178" t="s">
        <v>157</v>
      </c>
      <c r="D46" s="178"/>
      <c r="E46" s="178"/>
      <c r="F46" s="178"/>
      <c r="G46" s="178"/>
      <c r="H46" s="178"/>
      <c r="I46" s="178"/>
      <c r="J46" s="178"/>
      <c r="K46" s="179"/>
      <c r="L46" s="179"/>
      <c r="M46" s="179"/>
    </row>
    <row r="50" spans="2:13" x14ac:dyDescent="0.2">
      <c r="B50" s="700" t="s">
        <v>165</v>
      </c>
      <c r="C50" s="700"/>
      <c r="D50" s="700"/>
      <c r="E50" s="700"/>
      <c r="F50" s="700"/>
    </row>
    <row r="52" spans="2:13" x14ac:dyDescent="0.2">
      <c r="C52" s="173" t="s">
        <v>158</v>
      </c>
      <c r="D52" s="173"/>
      <c r="E52" s="173"/>
      <c r="F52" s="173"/>
      <c r="G52" s="172"/>
      <c r="H52" s="172"/>
      <c r="I52" s="172"/>
      <c r="J52" s="172"/>
      <c r="K52" s="172"/>
      <c r="L52" s="172"/>
      <c r="M52" s="172"/>
    </row>
    <row r="54" spans="2:13" x14ac:dyDescent="0.2">
      <c r="B54" s="172" t="s">
        <v>166</v>
      </c>
      <c r="C54" s="172"/>
    </row>
    <row r="56" spans="2:13" x14ac:dyDescent="0.2">
      <c r="B56" s="699" t="s">
        <v>228</v>
      </c>
      <c r="C56" s="699"/>
    </row>
  </sheetData>
  <sheetProtection algorithmName="SHA-512" hashValue="XIlftdLb0ALPcTLhNGyUoutr6e0O34O8RecNb3Vx7yklH89VnjabIG7asUkylK07+G2SguyPR42epB9C22gmiw==" saltValue="hF/G85AhNCqtGfDEZa3Alw==" spinCount="100000" sheet="1" objects="1" scenarios="1"/>
  <mergeCells count="13">
    <mergeCell ref="B11:F11"/>
    <mergeCell ref="O40:S40"/>
    <mergeCell ref="B19:F19"/>
    <mergeCell ref="B24:F24"/>
    <mergeCell ref="B5:F5"/>
    <mergeCell ref="C22:K22"/>
    <mergeCell ref="B56:C56"/>
    <mergeCell ref="B50:F50"/>
    <mergeCell ref="C42:J42"/>
    <mergeCell ref="B44:F44"/>
    <mergeCell ref="C27:M28"/>
    <mergeCell ref="C33:M33"/>
    <mergeCell ref="C41:F41"/>
  </mergeCells>
  <hyperlinks>
    <hyperlink ref="B5:F5" location="'A) Resumen Ingresos y Egresos'!Área_de_impresión" display="A) Resumen Ingresos y Egresos" xr:uid="{00000000-0004-0000-0100-000000000000}"/>
    <hyperlink ref="B11:F11" location="'B) Reajuste Tarifas y Ocupación'!A1" display="B) Reajuste Tarifas y Ocupación" xr:uid="{00000000-0004-0000-0100-000001000000}"/>
    <hyperlink ref="C7:F7" location="'A) Resumen Ingresos y Egresos'!A6" display="TABLA 1: RESUMEN DE INGRESOS Y EGRESOS DE CENTROS DE BENEFICIOS" xr:uid="{00000000-0004-0000-0100-000002000000}"/>
    <hyperlink ref="C9:F9" location="'A) Resumen Ingresos y Egresos'!A22" display="TABLA 2: DETALLE DE INGRESOS POR PRESTACIÓN Y SEGMENTO" xr:uid="{00000000-0004-0000-0100-000003000000}"/>
    <hyperlink ref="C13:F13" location="'B) Reajuste Tarifas y Ocupación'!A8" display="TABLA 3: REAJUSTE DE TARIFAS POR PRESTACIÓN Y SEGMENTO" xr:uid="{00000000-0004-0000-0100-000004000000}"/>
    <hyperlink ref="C15:H15" location="'B) Reajuste Tarifas y Ocupación'!A32" display="TABLA 4: METAS DE OCUPACIÓN POR PRESTACIÓN Y SEGMENTO" xr:uid="{00000000-0004-0000-0100-000005000000}"/>
    <hyperlink ref="B19:F19" location="'C) Costos Directos'!Área_de_impresión" display="C) Costos Directos" xr:uid="{00000000-0004-0000-0100-000006000000}"/>
    <hyperlink ref="C21:E21" location="'C) Costos Directos'!Área_de_impresión" display="TABLA 5: COSTOS DIRECTOS DE CENTROS DE BENEFICIOS" xr:uid="{00000000-0004-0000-0100-000007000000}"/>
    <hyperlink ref="C21:H21" location="'C) Costos Directos'!Área_de_impresión" display="TABLA 5: COSTOS DIRECTOS DE CENTROS DE BENEFICIOS" xr:uid="{00000000-0004-0000-0100-000008000000}"/>
    <hyperlink ref="C21" location="'C) Costos Directos'!A8" display="TABLA 5: COSTOS DIRECTOS DE CENTROS DE BENEFICIOS" xr:uid="{00000000-0004-0000-0100-000009000000}"/>
    <hyperlink ref="B24:F24" location="'D) Costos Indirectos'!A1" display="D) Costos Indirectos" xr:uid="{00000000-0004-0000-0100-00000A000000}"/>
    <hyperlink ref="C26:J26" location="'D) Costos Indirectos'!A9" display="TABLA 6: REMUNERACIONES DEL PERSONAL LEY 18.712 ADMINISTRACION CENTRAL Y APOYO ADMINISTRATIVO ASISTENCIA EDUCACIONAL" xr:uid="{00000000-0004-0000-0100-00000B000000}"/>
    <hyperlink ref="C27:M28" location="'D) Costos Indirectos'!M9" display="TABLA 7: DISTRIBUCION COSTOS REMUNERACIONES ADMINISTRACION CENTRAL Y APOYO ADMINISTRATIVO A. EDUCACIONAL" xr:uid="{00000000-0004-0000-0100-00000C000000}"/>
    <hyperlink ref="C29:N29" location="'D) Costos Indirectos'!U9" display="TABLA 8: COSTOS DE OPERACION ADMINISTRACIÓN CENTRAL Y  APOYO ADMINISTRATIVO ASISTENCIA EDUCACIONAL" xr:uid="{00000000-0004-0000-0100-00000D000000}"/>
    <hyperlink ref="C31:M31" location="'D) Costos Indirectos'!Z9" display="TABLA 9: RESUMEN DISTRIBUCION COSTOS REMUNERACIONES ADMINISTRACION CENTRAL Y APOYO ADMINISTRATIVO A. EDUCACIONAL" xr:uid="{00000000-0004-0000-0100-00000E000000}"/>
    <hyperlink ref="C33:M33" location="'D) Costos Indirectos'!AG9" display="TABLA 10: RESUMEN DISTRIBUCION COSTOS OPERACIÓN ADMINISTRACION CENTRAL  Y APOYO ADMINISTRATIVO A. EDUCACIONAL" xr:uid="{00000000-0004-0000-0100-00000F000000}"/>
    <hyperlink ref="C35:N35" location="'D) Costos Indirectos'!AN9" display="'D) Costos Indirectos'!AN9" xr:uid="{00000000-0004-0000-0100-000010000000}"/>
    <hyperlink ref="B39:C39" location="'E) Resumen Tarifado '!A1" display="E) Resumen Tarifado" xr:uid="{00000000-0004-0000-0100-000011000000}"/>
    <hyperlink ref="B44:F44" location="'F) Remuneraciones'!A1" display="F) Remuneraciones" xr:uid="{00000000-0004-0000-0100-000012000000}"/>
    <hyperlink ref="B50:F50" location="'G) Comparación Mercado'!A1" display="G) Comparación Mercado" xr:uid="{00000000-0004-0000-0100-000013000000}"/>
    <hyperlink ref="B54:C54" location="'H) Detalle Datos'!A1" display="H) Detalle Gastos" xr:uid="{00000000-0004-0000-0100-000014000000}"/>
    <hyperlink ref="C41:F41" location="'E) Resumen Tarifado '!A6" display="TABLA 12: RESUMEN DE TARIFADO" xr:uid="{00000000-0004-0000-0100-000015000000}"/>
    <hyperlink ref="C46:M46" location="'F) Remuneraciones'!B7" display="TABLA 13: REMUNERACIONES DEL PERSONAL LEY 18.712 DE CENTROS DE BENEFICIOS" xr:uid="{00000000-0004-0000-0100-000016000000}"/>
    <hyperlink ref="C52:M52" location="'G) Comparación Mercado'!A12" display="TABLA 14: COMPARACIÓN TARIFAS CON PRECIOS DE MERCADO" xr:uid="{00000000-0004-0000-0100-000017000000}"/>
    <hyperlink ref="B56" location="'I) Proyección Mensual.'!A2" display="I) Proyección Mensual" xr:uid="{DEE14F45-E3B4-41F4-A00B-3330B509040C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  <pageSetUpPr fitToPage="1"/>
  </sheetPr>
  <dimension ref="A1:IM43"/>
  <sheetViews>
    <sheetView showGridLines="0" tabSelected="1" zoomScale="80" zoomScaleNormal="80" workbookViewId="0">
      <selection activeCell="C47" sqref="C47"/>
    </sheetView>
  </sheetViews>
  <sheetFormatPr baseColWidth="10" defaultColWidth="11.42578125" defaultRowHeight="12.75" x14ac:dyDescent="0.2"/>
  <cols>
    <col min="1" max="1" width="37.140625" style="2" customWidth="1"/>
    <col min="2" max="2" width="21.42578125" style="2" customWidth="1"/>
    <col min="3" max="3" width="20.85546875" style="2" bestFit="1" customWidth="1"/>
    <col min="4" max="4" width="19.28515625" style="2" customWidth="1"/>
    <col min="5" max="6" width="18.85546875" style="2" customWidth="1"/>
    <col min="7" max="7" width="18" style="2" customWidth="1"/>
    <col min="8" max="8" width="18.28515625" style="2" customWidth="1"/>
    <col min="9" max="9" width="18.140625" style="2" bestFit="1" customWidth="1"/>
    <col min="10" max="10" width="18.7109375" style="2" bestFit="1" customWidth="1"/>
    <col min="11" max="11" width="18.7109375" style="2" customWidth="1"/>
    <col min="12" max="12" width="16.42578125" style="2" bestFit="1" customWidth="1"/>
    <col min="13" max="13" width="17.42578125" style="2" customWidth="1"/>
    <col min="14" max="14" width="17.28515625" style="2" customWidth="1"/>
    <col min="15" max="15" width="16.85546875" style="2" customWidth="1"/>
    <col min="16" max="16" width="14.85546875" style="2" customWidth="1"/>
    <col min="17" max="17" width="16.42578125" style="2" bestFit="1" customWidth="1"/>
    <col min="18" max="18" width="15.85546875" style="2" customWidth="1"/>
    <col min="19" max="16384" width="11.42578125" style="2"/>
  </cols>
  <sheetData>
    <row r="1" spans="1:247" s="4" customFormat="1" x14ac:dyDescent="0.2">
      <c r="A1" s="3"/>
      <c r="E1" s="33" t="s">
        <v>198</v>
      </c>
      <c r="F1" s="33"/>
      <c r="IL1" s="2"/>
      <c r="IM1" s="2"/>
    </row>
    <row r="2" spans="1:247" s="4" customFormat="1" x14ac:dyDescent="0.2">
      <c r="A2" s="5"/>
      <c r="E2" s="33" t="s">
        <v>191</v>
      </c>
      <c r="F2" s="33"/>
      <c r="IL2" s="2"/>
      <c r="IM2" s="2"/>
    </row>
    <row r="3" spans="1:247" s="4" customFormat="1" x14ac:dyDescent="0.2">
      <c r="A3" s="2"/>
      <c r="IL3" s="2"/>
      <c r="IM3" s="2"/>
    </row>
    <row r="4" spans="1:247" s="4" customFormat="1" ht="18.75" customHeight="1" x14ac:dyDescent="0.2">
      <c r="A4" s="2"/>
      <c r="B4" s="16"/>
      <c r="C4" s="723" t="s">
        <v>0</v>
      </c>
      <c r="D4" s="723"/>
      <c r="E4" s="724" t="s">
        <v>251</v>
      </c>
      <c r="F4" s="725"/>
      <c r="G4" s="726"/>
      <c r="L4" s="1"/>
      <c r="IC4" s="2"/>
      <c r="ID4" s="2"/>
      <c r="IE4" s="2"/>
      <c r="IF4" s="2"/>
      <c r="IG4" s="2"/>
      <c r="IH4" s="2"/>
    </row>
    <row r="5" spans="1:247" s="4" customFormat="1" x14ac:dyDescent="0.2">
      <c r="A5" s="2"/>
      <c r="B5" s="2"/>
      <c r="C5" s="2"/>
      <c r="D5" s="2"/>
      <c r="E5" s="2"/>
      <c r="F5" s="2"/>
      <c r="G5" s="6"/>
      <c r="H5" s="6"/>
      <c r="L5" s="1"/>
      <c r="IC5" s="2"/>
      <c r="ID5" s="2"/>
      <c r="IE5" s="2"/>
      <c r="IF5" s="2"/>
      <c r="IG5" s="2"/>
      <c r="IH5" s="2"/>
    </row>
    <row r="6" spans="1:247" s="4" customFormat="1" ht="15.75" x14ac:dyDescent="0.2">
      <c r="A6" s="743" t="s">
        <v>144</v>
      </c>
      <c r="B6" s="743"/>
      <c r="C6" s="743"/>
      <c r="D6" s="743"/>
      <c r="E6" s="2"/>
      <c r="F6" s="2"/>
      <c r="G6" s="6"/>
      <c r="H6" s="6"/>
      <c r="L6" s="1"/>
      <c r="IC6" s="2"/>
      <c r="ID6" s="2"/>
      <c r="IE6" s="2"/>
      <c r="IF6" s="2"/>
      <c r="IG6" s="2"/>
      <c r="IH6" s="2"/>
    </row>
    <row r="7" spans="1:247" ht="13.5" thickBot="1" x14ac:dyDescent="0.25">
      <c r="B7" s="4"/>
      <c r="C7" s="4"/>
      <c r="E7" s="4"/>
      <c r="F7" s="4"/>
      <c r="G7" s="4"/>
      <c r="H7" s="4"/>
      <c r="I7" s="4"/>
      <c r="M7" s="35"/>
    </row>
    <row r="8" spans="1:247" ht="39" customHeight="1" x14ac:dyDescent="0.2">
      <c r="A8" s="241" t="s">
        <v>115</v>
      </c>
      <c r="B8" s="242" t="str">
        <f>+N18</f>
        <v>Ingreso por Matrícula</v>
      </c>
      <c r="C8" s="243" t="str">
        <f>+O18</f>
        <v>Ingreso por Mensualidad</v>
      </c>
      <c r="D8" s="243" t="s">
        <v>126</v>
      </c>
      <c r="E8" s="244" t="s">
        <v>83</v>
      </c>
      <c r="F8" s="245" t="s">
        <v>80</v>
      </c>
      <c r="G8" s="246" t="s">
        <v>81</v>
      </c>
      <c r="H8" s="247" t="s">
        <v>108</v>
      </c>
      <c r="I8" s="248" t="s">
        <v>114</v>
      </c>
      <c r="L8" s="43" t="s">
        <v>113</v>
      </c>
      <c r="N8" s="64"/>
    </row>
    <row r="9" spans="1:247" x14ac:dyDescent="0.2">
      <c r="A9" s="249" t="str">
        <f>+'B) Reajuste Tarifas y Ocupación'!A12</f>
        <v>Jardín Infantil Mar y Cielo</v>
      </c>
      <c r="B9" s="250">
        <f>+N32</f>
        <v>9968700</v>
      </c>
      <c r="C9" s="251">
        <f>+O32</f>
        <v>99687000</v>
      </c>
      <c r="D9" s="250">
        <f>+P32</f>
        <v>0</v>
      </c>
      <c r="E9" s="252">
        <f>+B9+D9+C9</f>
        <v>109655700</v>
      </c>
      <c r="F9" s="253">
        <f>+'C) Costos Directos'!H75</f>
        <v>81076890.200000003</v>
      </c>
      <c r="G9" s="254">
        <f>+IFERROR('D) Costos Indirectos'!$AP$15*(F9/$F$11),0)</f>
        <v>27515568.161954466</v>
      </c>
      <c r="H9" s="255">
        <f>+F9+G9</f>
        <v>108592458.36195447</v>
      </c>
      <c r="I9" s="256">
        <f>E9-H9</f>
        <v>1063241.6380455345</v>
      </c>
      <c r="L9" s="58">
        <f>+IFERROR(G9/$G$11,0)</f>
        <v>0.66269408933728702</v>
      </c>
      <c r="N9" s="65"/>
    </row>
    <row r="10" spans="1:247" x14ac:dyDescent="0.2">
      <c r="A10" s="249" t="str">
        <f>+'B) Reajuste Tarifas y Ocupación'!A16</f>
        <v>Sala Cuna Mar y Cielo Diurna</v>
      </c>
      <c r="B10" s="250">
        <f>+N42</f>
        <v>0</v>
      </c>
      <c r="C10" s="251">
        <f>+O42</f>
        <v>68265600</v>
      </c>
      <c r="D10" s="250">
        <f>+P42</f>
        <v>0</v>
      </c>
      <c r="E10" s="252">
        <f>+B10+D10+C10</f>
        <v>68265600</v>
      </c>
      <c r="F10" s="253">
        <f>+'C) Costos Directos'!H141</f>
        <v>41267478.799999997</v>
      </c>
      <c r="G10" s="254">
        <f>+IFERROR('D) Costos Indirectos'!$AP$15*(F10/$F$11),0)</f>
        <v>14005200.779067507</v>
      </c>
      <c r="H10" s="255">
        <f>+F10+G10</f>
        <v>55272679.579067506</v>
      </c>
      <c r="I10" s="256">
        <f>E10-H10</f>
        <v>12992920.420932494</v>
      </c>
      <c r="L10" s="58">
        <f>+IFERROR(G10/$G$11,0)</f>
        <v>0.33730591066271304</v>
      </c>
      <c r="N10" s="65"/>
    </row>
    <row r="11" spans="1:247" s="4" customFormat="1" ht="15.75" thickBot="1" x14ac:dyDescent="0.25">
      <c r="A11" s="257" t="s">
        <v>1</v>
      </c>
      <c r="B11" s="258">
        <f>SUM(B9:B10)</f>
        <v>9968700</v>
      </c>
      <c r="C11" s="258">
        <f>SUM(C9:C10)</f>
        <v>167952600</v>
      </c>
      <c r="D11" s="258">
        <f>SUM(D9:D10)</f>
        <v>0</v>
      </c>
      <c r="E11" s="259">
        <f>SUM(E9:E10)</f>
        <v>177921300</v>
      </c>
      <c r="F11" s="258">
        <f>SUM(F9:F10)</f>
        <v>122344369</v>
      </c>
      <c r="G11" s="258">
        <f t="shared" ref="G11:I11" si="0">SUM(G9:G10)</f>
        <v>41520768.941021971</v>
      </c>
      <c r="H11" s="258">
        <f t="shared" si="0"/>
        <v>163865137.94102198</v>
      </c>
      <c r="I11" s="260">
        <f t="shared" si="0"/>
        <v>14056162.058978029</v>
      </c>
      <c r="L11" s="59">
        <f>SUM(L9:L10)</f>
        <v>1</v>
      </c>
      <c r="N11" s="35"/>
      <c r="O11" s="214"/>
      <c r="IB11" s="2"/>
      <c r="IC11" s="2"/>
      <c r="ID11" s="2"/>
      <c r="IE11" s="2"/>
      <c r="IF11" s="2"/>
      <c r="IG11" s="2"/>
      <c r="IH11" s="2"/>
    </row>
    <row r="12" spans="1:247" s="4" customFormat="1" ht="15.75" customHeight="1" x14ac:dyDescent="0.2">
      <c r="A12" s="7"/>
      <c r="B12" s="7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IB12" s="2"/>
      <c r="IC12" s="2"/>
      <c r="ID12" s="2"/>
      <c r="IE12" s="2"/>
      <c r="IF12" s="2"/>
      <c r="IG12" s="2"/>
      <c r="IH12" s="2"/>
    </row>
    <row r="13" spans="1:247" s="4" customFormat="1" ht="15.75" customHeight="1" x14ac:dyDescent="0.2">
      <c r="A13" s="7"/>
      <c r="B13" s="7"/>
      <c r="C13" s="7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215"/>
      <c r="IB13" s="2"/>
      <c r="IC13" s="2"/>
      <c r="ID13" s="2"/>
      <c r="IE13" s="2"/>
      <c r="IF13" s="2"/>
      <c r="IG13" s="2"/>
      <c r="IH13" s="2"/>
    </row>
    <row r="14" spans="1:247" s="4" customFormat="1" ht="15.75" customHeight="1" x14ac:dyDescent="0.2">
      <c r="A14" s="7"/>
      <c r="B14" s="7"/>
      <c r="C14" s="7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IB14" s="2"/>
      <c r="IC14" s="2"/>
      <c r="ID14" s="2"/>
      <c r="IE14" s="2"/>
      <c r="IF14" s="2"/>
      <c r="IG14" s="2"/>
      <c r="IH14" s="2"/>
    </row>
    <row r="15" spans="1:247" s="4" customFormat="1" ht="15.75" customHeight="1" x14ac:dyDescent="0.2">
      <c r="A15" s="7"/>
      <c r="B15" s="7"/>
      <c r="C15" s="7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IB15" s="2"/>
      <c r="IC15" s="2"/>
      <c r="ID15" s="2"/>
      <c r="IE15" s="2"/>
      <c r="IF15" s="2"/>
      <c r="IG15" s="2"/>
      <c r="IH15" s="2"/>
    </row>
    <row r="16" spans="1:247" s="4" customFormat="1" ht="15.75" customHeight="1" x14ac:dyDescent="0.2">
      <c r="A16" s="743" t="s">
        <v>145</v>
      </c>
      <c r="B16" s="743"/>
      <c r="C16" s="743"/>
      <c r="D16" s="743"/>
      <c r="E16" s="8"/>
      <c r="F16" s="8"/>
      <c r="G16" s="8"/>
      <c r="H16" s="8"/>
      <c r="I16" s="8"/>
      <c r="J16" s="8"/>
      <c r="K16" s="8"/>
      <c r="L16" s="8"/>
      <c r="M16" s="8"/>
      <c r="N16" s="8"/>
      <c r="IB16" s="2"/>
      <c r="IC16" s="2"/>
      <c r="ID16" s="2"/>
      <c r="IE16" s="2"/>
      <c r="IF16" s="2"/>
      <c r="IG16" s="2"/>
      <c r="IH16" s="2"/>
    </row>
    <row r="17" spans="1:247" s="4" customFormat="1" ht="13.5" thickBot="1" x14ac:dyDescent="0.25">
      <c r="I17" s="9"/>
      <c r="J17" s="9"/>
      <c r="K17" s="9"/>
      <c r="L17" s="1"/>
      <c r="M17" s="1"/>
      <c r="O17" s="10"/>
      <c r="P17" s="10"/>
      <c r="IL17" s="2"/>
      <c r="IM17" s="2"/>
    </row>
    <row r="18" spans="1:247" s="11" customFormat="1" ht="15.75" customHeight="1" x14ac:dyDescent="0.2">
      <c r="A18" s="744" t="s">
        <v>115</v>
      </c>
      <c r="B18" s="717" t="s">
        <v>5</v>
      </c>
      <c r="C18" s="727" t="s">
        <v>2</v>
      </c>
      <c r="D18" s="729" t="s">
        <v>255</v>
      </c>
      <c r="E18" s="730"/>
      <c r="F18" s="730"/>
      <c r="G18" s="730"/>
      <c r="H18" s="731"/>
      <c r="I18" s="732" t="s">
        <v>256</v>
      </c>
      <c r="J18" s="733"/>
      <c r="K18" s="733"/>
      <c r="L18" s="733"/>
      <c r="M18" s="734"/>
      <c r="N18" s="737" t="s">
        <v>90</v>
      </c>
      <c r="O18" s="739" t="s">
        <v>91</v>
      </c>
      <c r="P18" s="735" t="s">
        <v>126</v>
      </c>
      <c r="Q18" s="741" t="s">
        <v>107</v>
      </c>
    </row>
    <row r="19" spans="1:247" s="11" customFormat="1" ht="39" thickBot="1" x14ac:dyDescent="0.25">
      <c r="A19" s="745"/>
      <c r="B19" s="718"/>
      <c r="C19" s="728"/>
      <c r="D19" s="219" t="s">
        <v>87</v>
      </c>
      <c r="E19" s="218" t="s">
        <v>135</v>
      </c>
      <c r="F19" s="218" t="s">
        <v>136</v>
      </c>
      <c r="G19" s="218" t="s">
        <v>88</v>
      </c>
      <c r="H19" s="220" t="s">
        <v>89</v>
      </c>
      <c r="I19" s="219" t="s">
        <v>87</v>
      </c>
      <c r="J19" s="218" t="s">
        <v>135</v>
      </c>
      <c r="K19" s="218" t="s">
        <v>136</v>
      </c>
      <c r="L19" s="218" t="s">
        <v>88</v>
      </c>
      <c r="M19" s="220" t="s">
        <v>89</v>
      </c>
      <c r="N19" s="738"/>
      <c r="O19" s="740"/>
      <c r="P19" s="736"/>
      <c r="Q19" s="742"/>
    </row>
    <row r="20" spans="1:247" ht="12.75" customHeight="1" x14ac:dyDescent="0.2">
      <c r="A20" s="720" t="str">
        <f>+'B) Reajuste Tarifas y Ocupación'!A12</f>
        <v>Jardín Infantil Mar y Cielo</v>
      </c>
      <c r="B20" s="707" t="str">
        <f>+'B) Reajuste Tarifas y Ocupación'!B12</f>
        <v>Media jornada</v>
      </c>
      <c r="C20" s="452" t="s">
        <v>254</v>
      </c>
      <c r="D20" s="228">
        <f t="shared" ref="D20:F21" si="1">+I20</f>
        <v>104700</v>
      </c>
      <c r="E20" s="223">
        <f t="shared" si="1"/>
        <v>141300</v>
      </c>
      <c r="F20" s="223">
        <f t="shared" si="1"/>
        <v>146500</v>
      </c>
      <c r="G20" s="223">
        <f t="shared" ref="G20:H21" si="2">+L20</f>
        <v>163700</v>
      </c>
      <c r="H20" s="229">
        <f t="shared" si="2"/>
        <v>193500</v>
      </c>
      <c r="I20" s="228">
        <f>+'B) Reajuste Tarifas y Ocupación'!M12</f>
        <v>104700</v>
      </c>
      <c r="J20" s="223">
        <f>+'B) Reajuste Tarifas y Ocupación'!N12</f>
        <v>141300</v>
      </c>
      <c r="K20" s="223">
        <f>+'B) Reajuste Tarifas y Ocupación'!O12</f>
        <v>146500</v>
      </c>
      <c r="L20" s="223">
        <f>+'B) Reajuste Tarifas y Ocupación'!P12</f>
        <v>163700</v>
      </c>
      <c r="M20" s="229">
        <f>+'B) Reajuste Tarifas y Ocupación'!Q12</f>
        <v>193500</v>
      </c>
      <c r="N20" s="234"/>
      <c r="O20" s="224"/>
      <c r="P20" s="237">
        <f>+'B) Reajuste Tarifas y Ocupación'!C12</f>
        <v>100100</v>
      </c>
      <c r="Q20" s="710"/>
    </row>
    <row r="21" spans="1:247" x14ac:dyDescent="0.2">
      <c r="A21" s="721"/>
      <c r="B21" s="708"/>
      <c r="C21" s="217" t="s">
        <v>7</v>
      </c>
      <c r="D21" s="230">
        <f t="shared" si="1"/>
        <v>6</v>
      </c>
      <c r="E21" s="222">
        <f t="shared" si="1"/>
        <v>0</v>
      </c>
      <c r="F21" s="222">
        <f t="shared" si="1"/>
        <v>0</v>
      </c>
      <c r="G21" s="222">
        <f t="shared" si="2"/>
        <v>0</v>
      </c>
      <c r="H21" s="231">
        <f t="shared" si="2"/>
        <v>0</v>
      </c>
      <c r="I21" s="230">
        <f>+'B) Reajuste Tarifas y Ocupación'!C27</f>
        <v>6</v>
      </c>
      <c r="J21" s="222">
        <f>+'B) Reajuste Tarifas y Ocupación'!D27</f>
        <v>0</v>
      </c>
      <c r="K21" s="222">
        <f>+'B) Reajuste Tarifas y Ocupación'!E27</f>
        <v>0</v>
      </c>
      <c r="L21" s="222">
        <f>+'B) Reajuste Tarifas y Ocupación'!F27</f>
        <v>0</v>
      </c>
      <c r="M21" s="231">
        <f>+'B) Reajuste Tarifas y Ocupación'!G27</f>
        <v>0</v>
      </c>
      <c r="N21" s="235"/>
      <c r="O21" s="221"/>
      <c r="P21" s="238">
        <v>0</v>
      </c>
      <c r="Q21" s="706"/>
    </row>
    <row r="22" spans="1:247" ht="13.5" thickBot="1" x14ac:dyDescent="0.25">
      <c r="A22" s="721"/>
      <c r="B22" s="709"/>
      <c r="C22" s="225" t="s">
        <v>9</v>
      </c>
      <c r="D22" s="232">
        <f>D21*D20</f>
        <v>628200</v>
      </c>
      <c r="E22" s="226">
        <f>E21*E20</f>
        <v>0</v>
      </c>
      <c r="F22" s="226">
        <f t="shared" ref="F22" si="3">F21*F20</f>
        <v>0</v>
      </c>
      <c r="G22" s="226">
        <f t="shared" ref="G22:H22" si="4">G21*G20</f>
        <v>0</v>
      </c>
      <c r="H22" s="233">
        <f t="shared" si="4"/>
        <v>0</v>
      </c>
      <c r="I22" s="276">
        <f>I21*I20*10</f>
        <v>6282000</v>
      </c>
      <c r="J22" s="277">
        <f t="shared" ref="J22:M22" si="5">J21*J20*10</f>
        <v>0</v>
      </c>
      <c r="K22" s="277">
        <f t="shared" ref="K22" si="6">K21*K20*10</f>
        <v>0</v>
      </c>
      <c r="L22" s="277">
        <f t="shared" si="5"/>
        <v>0</v>
      </c>
      <c r="M22" s="278">
        <f t="shared" si="5"/>
        <v>0</v>
      </c>
      <c r="N22" s="236">
        <f>SUM(D22:H22)</f>
        <v>628200</v>
      </c>
      <c r="O22" s="227">
        <f>SUM(I22:M22)</f>
        <v>6282000</v>
      </c>
      <c r="P22" s="239">
        <f>P21*P20</f>
        <v>0</v>
      </c>
      <c r="Q22" s="240">
        <f>N22+O22+P22</f>
        <v>6910200</v>
      </c>
    </row>
    <row r="23" spans="1:247" ht="12.75" customHeight="1" x14ac:dyDescent="0.2">
      <c r="A23" s="721"/>
      <c r="B23" s="707" t="str">
        <f>+'B) Reajuste Tarifas y Ocupación'!B13</f>
        <v>Media Jornada extendida</v>
      </c>
      <c r="C23" s="452" t="s">
        <v>254</v>
      </c>
      <c r="D23" s="228">
        <f t="shared" ref="D23" si="7">+I23</f>
        <v>163500</v>
      </c>
      <c r="E23" s="223">
        <f t="shared" ref="E23" si="8">+J23</f>
        <v>220700</v>
      </c>
      <c r="F23" s="223">
        <f t="shared" ref="F23" si="9">+K23</f>
        <v>228900</v>
      </c>
      <c r="G23" s="223">
        <f t="shared" ref="G23" si="10">+L23</f>
        <v>204300</v>
      </c>
      <c r="H23" s="378">
        <f t="shared" ref="H23" si="11">+M23</f>
        <v>245000</v>
      </c>
      <c r="I23" s="379">
        <f>+'B) Reajuste Tarifas y Ocupación'!M13</f>
        <v>163500</v>
      </c>
      <c r="J23" s="377">
        <f>+'B) Reajuste Tarifas y Ocupación'!N13</f>
        <v>220700</v>
      </c>
      <c r="K23" s="377">
        <f>+'B) Reajuste Tarifas y Ocupación'!O13</f>
        <v>228900</v>
      </c>
      <c r="L23" s="377">
        <f>+'B) Reajuste Tarifas y Ocupación'!P13</f>
        <v>204300</v>
      </c>
      <c r="M23" s="659">
        <f>+'B) Reajuste Tarifas y Ocupación'!Q13</f>
        <v>245000</v>
      </c>
      <c r="N23" s="234"/>
      <c r="O23" s="224"/>
      <c r="P23" s="237"/>
      <c r="Q23" s="710"/>
    </row>
    <row r="24" spans="1:247" x14ac:dyDescent="0.2">
      <c r="A24" s="721"/>
      <c r="B24" s="708"/>
      <c r="C24" s="217" t="s">
        <v>7</v>
      </c>
      <c r="D24" s="230">
        <f>+I24</f>
        <v>8</v>
      </c>
      <c r="E24" s="222">
        <f t="shared" ref="E24" si="12">+J24</f>
        <v>0</v>
      </c>
      <c r="F24" s="222">
        <f t="shared" ref="F24" si="13">+K24</f>
        <v>0</v>
      </c>
      <c r="G24" s="222">
        <f t="shared" ref="G24" si="14">+L24</f>
        <v>0</v>
      </c>
      <c r="H24" s="658">
        <f t="shared" ref="H24" si="15">+M24</f>
        <v>1</v>
      </c>
      <c r="I24" s="384">
        <f>+'B) Reajuste Tarifas y Ocupación'!C28</f>
        <v>8</v>
      </c>
      <c r="J24" s="382">
        <f>+'B) Reajuste Tarifas y Ocupación'!D28</f>
        <v>0</v>
      </c>
      <c r="K24" s="382">
        <f>+'B) Reajuste Tarifas y Ocupación'!E28</f>
        <v>0</v>
      </c>
      <c r="L24" s="382">
        <f>+'B) Reajuste Tarifas y Ocupación'!F28</f>
        <v>0</v>
      </c>
      <c r="M24" s="385">
        <f>+'B) Reajuste Tarifas y Ocupación'!G28</f>
        <v>1</v>
      </c>
      <c r="N24" s="235"/>
      <c r="O24" s="221"/>
      <c r="P24" s="238">
        <v>0</v>
      </c>
      <c r="Q24" s="706"/>
    </row>
    <row r="25" spans="1:247" ht="13.5" thickBot="1" x14ac:dyDescent="0.25">
      <c r="A25" s="721"/>
      <c r="B25" s="709"/>
      <c r="C25" s="225" t="s">
        <v>9</v>
      </c>
      <c r="D25" s="232">
        <f>D24*D23</f>
        <v>1308000</v>
      </c>
      <c r="E25" s="226">
        <f>E24*E23</f>
        <v>0</v>
      </c>
      <c r="F25" s="226">
        <f t="shared" ref="F25:H25" si="16">F24*F23</f>
        <v>0</v>
      </c>
      <c r="G25" s="226">
        <f t="shared" si="16"/>
        <v>0</v>
      </c>
      <c r="H25" s="239">
        <f t="shared" si="16"/>
        <v>245000</v>
      </c>
      <c r="I25" s="232">
        <f>I24*I23*10</f>
        <v>13080000</v>
      </c>
      <c r="J25" s="226">
        <f t="shared" ref="J25:M25" si="17">J24*J23*10</f>
        <v>0</v>
      </c>
      <c r="K25" s="226">
        <f t="shared" si="17"/>
        <v>0</v>
      </c>
      <c r="L25" s="226">
        <f t="shared" si="17"/>
        <v>0</v>
      </c>
      <c r="M25" s="233">
        <f t="shared" si="17"/>
        <v>2450000</v>
      </c>
      <c r="N25" s="236">
        <f>SUM(D25:H25)</f>
        <v>1553000</v>
      </c>
      <c r="O25" s="227">
        <f>SUM(I25:M25)</f>
        <v>15530000</v>
      </c>
      <c r="P25" s="239">
        <f>P24*P23</f>
        <v>0</v>
      </c>
      <c r="Q25" s="240">
        <f>N25+O25+P25</f>
        <v>17083000</v>
      </c>
    </row>
    <row r="26" spans="1:247" ht="12.75" customHeight="1" x14ac:dyDescent="0.2">
      <c r="A26" s="721"/>
      <c r="B26" s="707" t="str">
        <f>+'B) Reajuste Tarifas y Ocupación'!B14</f>
        <v xml:space="preserve">Doble jornada </v>
      </c>
      <c r="C26" s="452" t="s">
        <v>254</v>
      </c>
      <c r="D26" s="228">
        <f t="shared" ref="D26:D27" si="18">+I26</f>
        <v>147800</v>
      </c>
      <c r="E26" s="223">
        <f t="shared" ref="E26:E27" si="19">+J26</f>
        <v>199500</v>
      </c>
      <c r="F26" s="223">
        <f t="shared" ref="F26:F27" si="20">+K26</f>
        <v>206900</v>
      </c>
      <c r="G26" s="223">
        <f t="shared" ref="G26:G27" si="21">+L26</f>
        <v>221800</v>
      </c>
      <c r="H26" s="275">
        <f t="shared" ref="H26:H27" si="22">+M26</f>
        <v>259900</v>
      </c>
      <c r="I26" s="610">
        <f>+'B) Reajuste Tarifas y Ocupación'!M14</f>
        <v>147800</v>
      </c>
      <c r="J26" s="608">
        <f>+'B) Reajuste Tarifas y Ocupación'!N14</f>
        <v>199500</v>
      </c>
      <c r="K26" s="608">
        <f>+'B) Reajuste Tarifas y Ocupación'!O14</f>
        <v>206900</v>
      </c>
      <c r="L26" s="608">
        <f>+'B) Reajuste Tarifas y Ocupación'!P14</f>
        <v>221800</v>
      </c>
      <c r="M26" s="611">
        <f>+'B) Reajuste Tarifas y Ocupación'!Q14</f>
        <v>259900</v>
      </c>
      <c r="N26" s="234"/>
      <c r="O26" s="224"/>
      <c r="P26" s="237">
        <f>+'B) Reajuste Tarifas y Ocupación'!C14</f>
        <v>141400</v>
      </c>
      <c r="Q26" s="710"/>
    </row>
    <row r="27" spans="1:247" x14ac:dyDescent="0.2">
      <c r="A27" s="721"/>
      <c r="B27" s="708"/>
      <c r="C27" s="217" t="s">
        <v>7</v>
      </c>
      <c r="D27" s="230">
        <f t="shared" si="18"/>
        <v>0</v>
      </c>
      <c r="E27" s="222">
        <f t="shared" si="19"/>
        <v>0</v>
      </c>
      <c r="F27" s="222">
        <f t="shared" si="20"/>
        <v>0</v>
      </c>
      <c r="G27" s="222">
        <f t="shared" si="21"/>
        <v>0</v>
      </c>
      <c r="H27" s="279">
        <f t="shared" si="22"/>
        <v>0</v>
      </c>
      <c r="I27" s="230">
        <f>+'B) Reajuste Tarifas y Ocupación'!C29</f>
        <v>0</v>
      </c>
      <c r="J27" s="222">
        <f>+'B) Reajuste Tarifas y Ocupación'!D29</f>
        <v>0</v>
      </c>
      <c r="K27" s="222">
        <f>+'B) Reajuste Tarifas y Ocupación'!E29</f>
        <v>0</v>
      </c>
      <c r="L27" s="222">
        <f>+'B) Reajuste Tarifas y Ocupación'!F29</f>
        <v>0</v>
      </c>
      <c r="M27" s="231">
        <f>+'B) Reajuste Tarifas y Ocupación'!G29</f>
        <v>0</v>
      </c>
      <c r="N27" s="235"/>
      <c r="O27" s="221"/>
      <c r="P27" s="238">
        <v>0</v>
      </c>
      <c r="Q27" s="706"/>
    </row>
    <row r="28" spans="1:247" ht="13.5" thickBot="1" x14ac:dyDescent="0.25">
      <c r="A28" s="721"/>
      <c r="B28" s="709"/>
      <c r="C28" s="225" t="s">
        <v>9</v>
      </c>
      <c r="D28" s="232">
        <f>D27*D26</f>
        <v>0</v>
      </c>
      <c r="E28" s="226">
        <f>E27*E26</f>
        <v>0</v>
      </c>
      <c r="F28" s="226">
        <f t="shared" ref="F28:H28" si="23">F27*F26</f>
        <v>0</v>
      </c>
      <c r="G28" s="226">
        <f t="shared" si="23"/>
        <v>0</v>
      </c>
      <c r="H28" s="239">
        <f t="shared" si="23"/>
        <v>0</v>
      </c>
      <c r="I28" s="232">
        <f>I27*I26*10</f>
        <v>0</v>
      </c>
      <c r="J28" s="226">
        <f t="shared" ref="J28:M28" si="24">J27*J26*10</f>
        <v>0</v>
      </c>
      <c r="K28" s="226">
        <f t="shared" si="24"/>
        <v>0</v>
      </c>
      <c r="L28" s="226">
        <f t="shared" si="24"/>
        <v>0</v>
      </c>
      <c r="M28" s="233">
        <f t="shared" si="24"/>
        <v>0</v>
      </c>
      <c r="N28" s="236">
        <f>SUM(D28:H28)</f>
        <v>0</v>
      </c>
      <c r="O28" s="227">
        <f>SUM(I28:M28)</f>
        <v>0</v>
      </c>
      <c r="P28" s="239">
        <f>P27*P26</f>
        <v>0</v>
      </c>
      <c r="Q28" s="240">
        <f>N28+O28+P28</f>
        <v>0</v>
      </c>
    </row>
    <row r="29" spans="1:247" x14ac:dyDescent="0.2">
      <c r="A29" s="721"/>
      <c r="B29" s="707" t="str">
        <f>+'B) Reajuste Tarifas y Ocupación'!B15</f>
        <v>Jornada completa</v>
      </c>
      <c r="C29" s="452" t="s">
        <v>254</v>
      </c>
      <c r="D29" s="228">
        <f t="shared" ref="D29:F30" si="25">+I29</f>
        <v>222500</v>
      </c>
      <c r="E29" s="223">
        <f t="shared" si="25"/>
        <v>300400</v>
      </c>
      <c r="F29" s="223">
        <f t="shared" si="25"/>
        <v>311500</v>
      </c>
      <c r="G29" s="223">
        <f t="shared" ref="G29:H30" si="26">+L29</f>
        <v>278100</v>
      </c>
      <c r="H29" s="229">
        <f t="shared" si="26"/>
        <v>289200</v>
      </c>
      <c r="I29" s="280">
        <f>+'B) Reajuste Tarifas y Ocupación'!M15</f>
        <v>222500</v>
      </c>
      <c r="J29" s="281">
        <f>+'B) Reajuste Tarifas y Ocupación'!N15</f>
        <v>300400</v>
      </c>
      <c r="K29" s="281">
        <f>+'B) Reajuste Tarifas y Ocupación'!O15</f>
        <v>311500</v>
      </c>
      <c r="L29" s="281">
        <f>+'B) Reajuste Tarifas y Ocupación'!P15</f>
        <v>278100</v>
      </c>
      <c r="M29" s="282">
        <f>+'B) Reajuste Tarifas y Ocupación'!Q15</f>
        <v>289200</v>
      </c>
      <c r="N29" s="234"/>
      <c r="O29" s="224"/>
      <c r="P29" s="237">
        <f>+'B) Reajuste Tarifas y Ocupación'!C15</f>
        <v>212900</v>
      </c>
      <c r="Q29" s="710"/>
    </row>
    <row r="30" spans="1:247" x14ac:dyDescent="0.2">
      <c r="A30" s="721"/>
      <c r="B30" s="708"/>
      <c r="C30" s="217" t="s">
        <v>7</v>
      </c>
      <c r="D30" s="230">
        <f t="shared" si="25"/>
        <v>35</v>
      </c>
      <c r="E30" s="222">
        <f t="shared" si="25"/>
        <v>0</v>
      </c>
      <c r="F30" s="222">
        <f t="shared" si="25"/>
        <v>0</v>
      </c>
      <c r="G30" s="222">
        <f t="shared" si="26"/>
        <v>0</v>
      </c>
      <c r="H30" s="231">
        <f t="shared" si="26"/>
        <v>0</v>
      </c>
      <c r="I30" s="230">
        <f>+'B) Reajuste Tarifas y Ocupación'!C30</f>
        <v>35</v>
      </c>
      <c r="J30" s="222">
        <f>+'B) Reajuste Tarifas y Ocupación'!D30</f>
        <v>0</v>
      </c>
      <c r="K30" s="222">
        <f>+'B) Reajuste Tarifas y Ocupación'!E30</f>
        <v>0</v>
      </c>
      <c r="L30" s="222">
        <f>+'B) Reajuste Tarifas y Ocupación'!F30</f>
        <v>0</v>
      </c>
      <c r="M30" s="231">
        <f>+'B) Reajuste Tarifas y Ocupación'!G30</f>
        <v>0</v>
      </c>
      <c r="N30" s="235"/>
      <c r="O30" s="221"/>
      <c r="P30" s="238">
        <v>0</v>
      </c>
      <c r="Q30" s="706"/>
    </row>
    <row r="31" spans="1:247" ht="13.5" thickBot="1" x14ac:dyDescent="0.25">
      <c r="A31" s="721"/>
      <c r="B31" s="708"/>
      <c r="C31" s="520" t="s">
        <v>9</v>
      </c>
      <c r="D31" s="521">
        <f t="shared" ref="D31:H31" si="27">D30*D29</f>
        <v>7787500</v>
      </c>
      <c r="E31" s="522">
        <f t="shared" si="27"/>
        <v>0</v>
      </c>
      <c r="F31" s="522">
        <f t="shared" ref="F31" si="28">F30*F29</f>
        <v>0</v>
      </c>
      <c r="G31" s="522">
        <f t="shared" si="27"/>
        <v>0</v>
      </c>
      <c r="H31" s="523">
        <f t="shared" si="27"/>
        <v>0</v>
      </c>
      <c r="I31" s="521">
        <f t="shared" ref="I31:M31" si="29">I30*I29*10</f>
        <v>77875000</v>
      </c>
      <c r="J31" s="522">
        <f t="shared" si="29"/>
        <v>0</v>
      </c>
      <c r="K31" s="522">
        <f t="shared" ref="K31" si="30">K30*K29*10</f>
        <v>0</v>
      </c>
      <c r="L31" s="522">
        <f t="shared" si="29"/>
        <v>0</v>
      </c>
      <c r="M31" s="523">
        <f t="shared" si="29"/>
        <v>0</v>
      </c>
      <c r="N31" s="524">
        <f>SUM(D31:H31)</f>
        <v>7787500</v>
      </c>
      <c r="O31" s="525">
        <f>SUM(I31:M31)</f>
        <v>77875000</v>
      </c>
      <c r="P31" s="526">
        <f>P30*P29</f>
        <v>0</v>
      </c>
      <c r="Q31" s="527">
        <f>N31+O31+P31</f>
        <v>85662500</v>
      </c>
    </row>
    <row r="32" spans="1:247" ht="15.75" thickBot="1" x14ac:dyDescent="0.25">
      <c r="A32" s="722"/>
      <c r="B32" s="719" t="s">
        <v>10</v>
      </c>
      <c r="C32" s="716"/>
      <c r="D32" s="291">
        <f>+D22+D25+D28+D31</f>
        <v>9723700</v>
      </c>
      <c r="E32" s="292">
        <f t="shared" ref="E32:Q32" si="31">+E22+E25+E28+E31</f>
        <v>0</v>
      </c>
      <c r="F32" s="292">
        <f t="shared" si="31"/>
        <v>0</v>
      </c>
      <c r="G32" s="292">
        <f t="shared" si="31"/>
        <v>0</v>
      </c>
      <c r="H32" s="405">
        <f t="shared" si="31"/>
        <v>245000</v>
      </c>
      <c r="I32" s="291">
        <f t="shared" si="31"/>
        <v>97237000</v>
      </c>
      <c r="J32" s="292">
        <f t="shared" si="31"/>
        <v>0</v>
      </c>
      <c r="K32" s="292">
        <f t="shared" si="31"/>
        <v>0</v>
      </c>
      <c r="L32" s="292">
        <f t="shared" si="31"/>
        <v>0</v>
      </c>
      <c r="M32" s="405">
        <f t="shared" si="31"/>
        <v>2450000</v>
      </c>
      <c r="N32" s="291">
        <f t="shared" si="31"/>
        <v>9968700</v>
      </c>
      <c r="O32" s="292">
        <f t="shared" si="31"/>
        <v>99687000</v>
      </c>
      <c r="P32" s="405">
        <f t="shared" si="31"/>
        <v>0</v>
      </c>
      <c r="Q32" s="614">
        <f t="shared" si="31"/>
        <v>109655700</v>
      </c>
    </row>
    <row r="33" spans="1:17" ht="12.75" customHeight="1" x14ac:dyDescent="0.2">
      <c r="A33" s="713" t="str">
        <f>+'B) Reajuste Tarifas y Ocupación'!A16</f>
        <v>Sala Cuna Mar y Cielo Diurna</v>
      </c>
      <c r="B33" s="707" t="str">
        <f>+'[1]B) Reajuste Tarifas y Ocupación'!B15</f>
        <v>Diurna</v>
      </c>
      <c r="C33" s="452" t="s">
        <v>254</v>
      </c>
      <c r="D33" s="387"/>
      <c r="E33" s="608">
        <f t="shared" ref="E33:H34" si="32">+J33</f>
        <v>590800</v>
      </c>
      <c r="F33" s="608">
        <f t="shared" si="32"/>
        <v>612700</v>
      </c>
      <c r="G33" s="608">
        <f t="shared" si="32"/>
        <v>547000</v>
      </c>
      <c r="H33" s="609">
        <f>+M33</f>
        <v>656300</v>
      </c>
      <c r="I33" s="610">
        <f>+'B) Reajuste Tarifas y Ocupación'!M16</f>
        <v>437600</v>
      </c>
      <c r="J33" s="608">
        <f>+'B) Reajuste Tarifas y Ocupación'!N16</f>
        <v>590800</v>
      </c>
      <c r="K33" s="608">
        <f>+'B) Reajuste Tarifas y Ocupación'!O16</f>
        <v>612700</v>
      </c>
      <c r="L33" s="608">
        <f>+'B) Reajuste Tarifas y Ocupación'!P16</f>
        <v>547000</v>
      </c>
      <c r="M33" s="611">
        <f>+'B) Reajuste Tarifas y Ocupación'!Q16</f>
        <v>656300</v>
      </c>
      <c r="N33" s="612"/>
      <c r="O33" s="613"/>
      <c r="P33" s="613"/>
      <c r="Q33" s="705"/>
    </row>
    <row r="34" spans="1:17" ht="12.75" customHeight="1" x14ac:dyDescent="0.2">
      <c r="A34" s="714"/>
      <c r="B34" s="708"/>
      <c r="C34" s="217" t="s">
        <v>7</v>
      </c>
      <c r="D34" s="375"/>
      <c r="E34" s="382">
        <f t="shared" si="32"/>
        <v>0</v>
      </c>
      <c r="F34" s="382">
        <f t="shared" si="32"/>
        <v>0</v>
      </c>
      <c r="G34" s="382">
        <f t="shared" si="32"/>
        <v>0</v>
      </c>
      <c r="H34" s="383">
        <f t="shared" si="32"/>
        <v>0</v>
      </c>
      <c r="I34" s="384">
        <f>+'B) Reajuste Tarifas y Ocupación'!C31</f>
        <v>13</v>
      </c>
      <c r="J34" s="382">
        <f>+'B) Reajuste Tarifas y Ocupación'!D31</f>
        <v>0</v>
      </c>
      <c r="K34" s="382">
        <f>+'B) Reajuste Tarifas y Ocupación'!E31</f>
        <v>0</v>
      </c>
      <c r="L34" s="382">
        <f>+'B) Reajuste Tarifas y Ocupación'!F31</f>
        <v>0</v>
      </c>
      <c r="M34" s="385">
        <f>+'B) Reajuste Tarifas y Ocupación'!G31</f>
        <v>0</v>
      </c>
      <c r="N34" s="235"/>
      <c r="O34" s="386"/>
      <c r="P34" s="386"/>
      <c r="Q34" s="706"/>
    </row>
    <row r="35" spans="1:17" ht="13.5" customHeight="1" thickBot="1" x14ac:dyDescent="0.25">
      <c r="A35" s="714"/>
      <c r="B35" s="709"/>
      <c r="C35" s="225" t="s">
        <v>9</v>
      </c>
      <c r="D35" s="232">
        <f>D34*D33</f>
        <v>0</v>
      </c>
      <c r="E35" s="226">
        <f>E34*E33</f>
        <v>0</v>
      </c>
      <c r="F35" s="226">
        <f>F34*F33</f>
        <v>0</v>
      </c>
      <c r="G35" s="226">
        <f>G34*G33</f>
        <v>0</v>
      </c>
      <c r="H35" s="239">
        <f>H34*H33</f>
        <v>0</v>
      </c>
      <c r="I35" s="232">
        <f>I34*I33*12</f>
        <v>68265600</v>
      </c>
      <c r="J35" s="226">
        <f>J34*J33*12</f>
        <v>0</v>
      </c>
      <c r="K35" s="226">
        <f>K34*K33*12</f>
        <v>0</v>
      </c>
      <c r="L35" s="226">
        <f>L34*L33*12</f>
        <v>0</v>
      </c>
      <c r="M35" s="233">
        <f>M34*M33*12</f>
        <v>0</v>
      </c>
      <c r="N35" s="236">
        <f>SUM(D35:H35)</f>
        <v>0</v>
      </c>
      <c r="O35" s="227">
        <f>SUM(I35:M35)</f>
        <v>68265600</v>
      </c>
      <c r="P35" s="239">
        <f>P34*P33</f>
        <v>0</v>
      </c>
      <c r="Q35" s="240">
        <f>N35+O35+P35</f>
        <v>68265600</v>
      </c>
    </row>
    <row r="36" spans="1:17" ht="12.75" customHeight="1" x14ac:dyDescent="0.2">
      <c r="A36" s="714"/>
      <c r="B36" s="707" t="str">
        <f>+'[1]B) Reajuste Tarifas y Ocupación'!B16</f>
        <v>Nocturna</v>
      </c>
      <c r="C36" s="452" t="s">
        <v>254</v>
      </c>
      <c r="D36" s="375"/>
      <c r="E36" s="373"/>
      <c r="F36" s="373"/>
      <c r="G36" s="373"/>
      <c r="H36" s="374"/>
      <c r="I36" s="387"/>
      <c r="J36" s="388"/>
      <c r="K36" s="388"/>
      <c r="L36" s="388"/>
      <c r="M36" s="389"/>
      <c r="N36" s="380"/>
      <c r="O36" s="381"/>
      <c r="P36" s="381"/>
      <c r="Q36" s="710"/>
    </row>
    <row r="37" spans="1:17" ht="12.75" customHeight="1" x14ac:dyDescent="0.2">
      <c r="A37" s="714"/>
      <c r="B37" s="708"/>
      <c r="C37" s="217" t="s">
        <v>7</v>
      </c>
      <c r="D37" s="375"/>
      <c r="E37" s="390"/>
      <c r="F37" s="390"/>
      <c r="G37" s="390"/>
      <c r="H37" s="391"/>
      <c r="I37" s="392"/>
      <c r="J37" s="390"/>
      <c r="K37" s="390"/>
      <c r="L37" s="390"/>
      <c r="M37" s="393"/>
      <c r="N37" s="235"/>
      <c r="O37" s="386"/>
      <c r="P37" s="386"/>
      <c r="Q37" s="706"/>
    </row>
    <row r="38" spans="1:17" ht="13.5" customHeight="1" thickBot="1" x14ac:dyDescent="0.25">
      <c r="A38" s="714"/>
      <c r="B38" s="709"/>
      <c r="C38" s="225" t="s">
        <v>9</v>
      </c>
      <c r="D38" s="232">
        <f>D37*D36</f>
        <v>0</v>
      </c>
      <c r="E38" s="226">
        <f>E37*E36</f>
        <v>0</v>
      </c>
      <c r="F38" s="226">
        <f>F37*F36</f>
        <v>0</v>
      </c>
      <c r="G38" s="226">
        <f>G37*G36</f>
        <v>0</v>
      </c>
      <c r="H38" s="239">
        <f>H37*H36</f>
        <v>0</v>
      </c>
      <c r="I38" s="276">
        <f>I37*I36*12</f>
        <v>0</v>
      </c>
      <c r="J38" s="277">
        <f>J37*J36*12</f>
        <v>0</v>
      </c>
      <c r="K38" s="277">
        <f>K37*K36*12</f>
        <v>0</v>
      </c>
      <c r="L38" s="277">
        <f>L37*L36*12</f>
        <v>0</v>
      </c>
      <c r="M38" s="278">
        <f>M37*M36*12</f>
        <v>0</v>
      </c>
      <c r="N38" s="236">
        <f>SUM(D38:H38)</f>
        <v>0</v>
      </c>
      <c r="O38" s="227">
        <f>SUM(I38:M38)</f>
        <v>0</v>
      </c>
      <c r="P38" s="239">
        <f>P37*P36</f>
        <v>0</v>
      </c>
      <c r="Q38" s="240">
        <f>N38+O38+P38</f>
        <v>0</v>
      </c>
    </row>
    <row r="39" spans="1:17" ht="12.75" customHeight="1" x14ac:dyDescent="0.2">
      <c r="A39" s="714"/>
      <c r="B39" s="707" t="str">
        <f>+'[1]B) Reajuste Tarifas y Ocupación'!B17</f>
        <v>Media Jornada</v>
      </c>
      <c r="C39" s="452" t="s">
        <v>254</v>
      </c>
      <c r="D39" s="372"/>
      <c r="E39" s="377">
        <f t="shared" ref="E39:E40" si="33">+J39</f>
        <v>0</v>
      </c>
      <c r="F39" s="377">
        <f t="shared" ref="F39:F40" si="34">+K39</f>
        <v>0</v>
      </c>
      <c r="G39" s="377">
        <f t="shared" ref="G39:G40" si="35">+L39</f>
        <v>0</v>
      </c>
      <c r="H39" s="378">
        <f>+M39</f>
        <v>0</v>
      </c>
      <c r="I39" s="379">
        <f>+'B) Reajuste Tarifas y Ocupación'!M22</f>
        <v>0</v>
      </c>
      <c r="J39" s="377">
        <f>+'B) Reajuste Tarifas y Ocupación'!N22</f>
        <v>0</v>
      </c>
      <c r="K39" s="377">
        <f>+'B) Reajuste Tarifas y Ocupación'!O22</f>
        <v>0</v>
      </c>
      <c r="L39" s="377">
        <f>+'B) Reajuste Tarifas y Ocupación'!P22</f>
        <v>0</v>
      </c>
      <c r="M39" s="229">
        <f>+'B) Reajuste Tarifas y Ocupación'!Q22</f>
        <v>0</v>
      </c>
      <c r="N39" s="380"/>
      <c r="O39" s="381"/>
      <c r="P39" s="381"/>
      <c r="Q39" s="710"/>
    </row>
    <row r="40" spans="1:17" ht="12.75" customHeight="1" x14ac:dyDescent="0.2">
      <c r="A40" s="714"/>
      <c r="B40" s="708"/>
      <c r="C40" s="217" t="s">
        <v>7</v>
      </c>
      <c r="D40" s="375"/>
      <c r="E40" s="382">
        <f t="shared" si="33"/>
        <v>0</v>
      </c>
      <c r="F40" s="382">
        <f t="shared" si="34"/>
        <v>0</v>
      </c>
      <c r="G40" s="382">
        <f t="shared" si="35"/>
        <v>0</v>
      </c>
      <c r="H40" s="383">
        <f t="shared" ref="H40" si="36">+M40</f>
        <v>0</v>
      </c>
      <c r="I40" s="384">
        <f>+'B) Reajuste Tarifas y Ocupación'!C33</f>
        <v>0</v>
      </c>
      <c r="J40" s="382">
        <f>+'B) Reajuste Tarifas y Ocupación'!D33</f>
        <v>0</v>
      </c>
      <c r="K40" s="382">
        <f>+'B) Reajuste Tarifas y Ocupación'!E33</f>
        <v>0</v>
      </c>
      <c r="L40" s="382">
        <f>+'B) Reajuste Tarifas y Ocupación'!F33</f>
        <v>0</v>
      </c>
      <c r="M40" s="385">
        <f>+'B) Reajuste Tarifas y Ocupación'!G33</f>
        <v>0</v>
      </c>
      <c r="N40" s="235"/>
      <c r="O40" s="386"/>
      <c r="P40" s="386"/>
      <c r="Q40" s="706"/>
    </row>
    <row r="41" spans="1:17" ht="13.5" customHeight="1" thickBot="1" x14ac:dyDescent="0.25">
      <c r="A41" s="714"/>
      <c r="B41" s="709"/>
      <c r="C41" s="225" t="s">
        <v>9</v>
      </c>
      <c r="D41" s="232">
        <f>D40*D39</f>
        <v>0</v>
      </c>
      <c r="E41" s="226">
        <f>E40*E39</f>
        <v>0</v>
      </c>
      <c r="F41" s="226">
        <f>F40*F39</f>
        <v>0</v>
      </c>
      <c r="G41" s="226">
        <f>G40*G39</f>
        <v>0</v>
      </c>
      <c r="H41" s="239">
        <f>H40*H39</f>
        <v>0</v>
      </c>
      <c r="I41" s="232">
        <f>I40*I39*12</f>
        <v>0</v>
      </c>
      <c r="J41" s="226">
        <f>J40*J39*12</f>
        <v>0</v>
      </c>
      <c r="K41" s="226">
        <f>K40*K39*12</f>
        <v>0</v>
      </c>
      <c r="L41" s="226">
        <f>L40*L39*12</f>
        <v>0</v>
      </c>
      <c r="M41" s="233">
        <f>M40*M39*12</f>
        <v>0</v>
      </c>
      <c r="N41" s="236">
        <f>SUM(D41:H41)</f>
        <v>0</v>
      </c>
      <c r="O41" s="227">
        <f>SUM(I41:M41)</f>
        <v>0</v>
      </c>
      <c r="P41" s="239">
        <f>P40*P39</f>
        <v>0</v>
      </c>
      <c r="Q41" s="240">
        <f>N41+O41+P41</f>
        <v>0</v>
      </c>
    </row>
    <row r="42" spans="1:17" ht="15.75" customHeight="1" thickBot="1" x14ac:dyDescent="0.25">
      <c r="A42" s="715"/>
      <c r="B42" s="716" t="s">
        <v>10</v>
      </c>
      <c r="C42" s="716"/>
      <c r="D42" s="283">
        <f>+D35+D41+D38</f>
        <v>0</v>
      </c>
      <c r="E42" s="284">
        <f t="shared" ref="E42:P42" si="37">+E35+E41+E38</f>
        <v>0</v>
      </c>
      <c r="F42" s="284">
        <f>+F35+F41+F38</f>
        <v>0</v>
      </c>
      <c r="G42" s="284">
        <f t="shared" si="37"/>
        <v>0</v>
      </c>
      <c r="H42" s="285">
        <f t="shared" si="37"/>
        <v>0</v>
      </c>
      <c r="I42" s="283">
        <f>+I35+I41+I38</f>
        <v>68265600</v>
      </c>
      <c r="J42" s="284">
        <f>+J35+J41+J38</f>
        <v>0</v>
      </c>
      <c r="K42" s="284">
        <f t="shared" si="37"/>
        <v>0</v>
      </c>
      <c r="L42" s="284">
        <f t="shared" si="37"/>
        <v>0</v>
      </c>
      <c r="M42" s="286">
        <f>+M35+M41+M38</f>
        <v>0</v>
      </c>
      <c r="N42" s="287">
        <f t="shared" si="37"/>
        <v>0</v>
      </c>
      <c r="O42" s="288">
        <f t="shared" si="37"/>
        <v>68265600</v>
      </c>
      <c r="P42" s="289">
        <f t="shared" si="37"/>
        <v>0</v>
      </c>
      <c r="Q42" s="290">
        <f>+Q35+Q41+Q38</f>
        <v>68265600</v>
      </c>
    </row>
    <row r="43" spans="1:17" ht="15" customHeight="1" thickBot="1" x14ac:dyDescent="0.25">
      <c r="A43" s="711" t="s">
        <v>8</v>
      </c>
      <c r="B43" s="712"/>
      <c r="C43" s="712"/>
      <c r="D43" s="291">
        <f>+D32+D42</f>
        <v>9723700</v>
      </c>
      <c r="E43" s="292">
        <f>+E32+E42</f>
        <v>0</v>
      </c>
      <c r="F43" s="292">
        <f>+F32+F42</f>
        <v>0</v>
      </c>
      <c r="G43" s="292">
        <f>+G32+G42</f>
        <v>0</v>
      </c>
      <c r="H43" s="405">
        <f>+H32+H42</f>
        <v>245000</v>
      </c>
      <c r="I43" s="291">
        <f t="shared" ref="I43:M43" si="38">+I32+I42</f>
        <v>165502600</v>
      </c>
      <c r="J43" s="292">
        <f t="shared" si="38"/>
        <v>0</v>
      </c>
      <c r="K43" s="292">
        <f t="shared" si="38"/>
        <v>0</v>
      </c>
      <c r="L43" s="292">
        <f t="shared" si="38"/>
        <v>0</v>
      </c>
      <c r="M43" s="293">
        <f t="shared" si="38"/>
        <v>2450000</v>
      </c>
      <c r="N43" s="291">
        <f t="shared" ref="N43" si="39">+N32+N42</f>
        <v>9968700</v>
      </c>
      <c r="O43" s="292">
        <f>+O32+O42</f>
        <v>167952600</v>
      </c>
      <c r="P43" s="293">
        <f>+P32+P42</f>
        <v>0</v>
      </c>
      <c r="Q43" s="294">
        <f>+Q32+Q42</f>
        <v>177921300</v>
      </c>
    </row>
  </sheetData>
  <sheetProtection algorithmName="SHA-512" hashValue="cg0yiQ6y1ezxqJ+DqbfOooCNmjprk9IfKLs5yY90ebiGxdwXCCqGGNoQiqdc5Woi7DolezzXG832ms0/3Kgxsw==" saltValue="IarHDNVhEcZoD7yj7bG6fw==" spinCount="100000" sheet="1" objects="1" scenarios="1"/>
  <mergeCells count="32">
    <mergeCell ref="Q23:Q24"/>
    <mergeCell ref="Q29:Q30"/>
    <mergeCell ref="C4:D4"/>
    <mergeCell ref="E4:G4"/>
    <mergeCell ref="C18:C19"/>
    <mergeCell ref="D18:H18"/>
    <mergeCell ref="I18:M18"/>
    <mergeCell ref="Q26:Q27"/>
    <mergeCell ref="P18:P19"/>
    <mergeCell ref="N18:N19"/>
    <mergeCell ref="O18:O19"/>
    <mergeCell ref="Q18:Q19"/>
    <mergeCell ref="Q20:Q21"/>
    <mergeCell ref="A6:D6"/>
    <mergeCell ref="A16:D16"/>
    <mergeCell ref="A18:A19"/>
    <mergeCell ref="B18:B19"/>
    <mergeCell ref="B26:B28"/>
    <mergeCell ref="B32:C32"/>
    <mergeCell ref="A20:A32"/>
    <mergeCell ref="B20:B22"/>
    <mergeCell ref="B23:B25"/>
    <mergeCell ref="A43:C43"/>
    <mergeCell ref="B29:B31"/>
    <mergeCell ref="A33:A42"/>
    <mergeCell ref="B33:B35"/>
    <mergeCell ref="B42:C42"/>
    <mergeCell ref="Q33:Q34"/>
    <mergeCell ref="B36:B38"/>
    <mergeCell ref="Q36:Q37"/>
    <mergeCell ref="B39:B41"/>
    <mergeCell ref="Q39:Q40"/>
  </mergeCells>
  <conditionalFormatting sqref="B9:I11 C12:N12 D13:N15 E16:N16">
    <cfRule type="cellIs" dxfId="4" priority="7" stopIfTrue="1" operator="lessThan">
      <formula>0</formula>
    </cfRule>
  </conditionalFormatting>
  <pageMargins left="0.19652777777777777" right="0.19652777777777777" top="0.27500000000000002" bottom="0.19652777777777777" header="0.19652777777777777" footer="0.51180555555555551"/>
  <pageSetup firstPageNumber="0" fitToHeight="14" orientation="landscape" horizontalDpi="300" verticalDpi="300" r:id="rId1"/>
  <headerFooter alignWithMargins="0">
    <oddHeader>&amp;LSEPT - 2004&amp;CDIRECTIVA D.B.S.A.ORDINARIA&amp;R02-BS/0307/02Pag &amp;P de &amp;N</oddHeader>
  </headerFooter>
  <ignoredErrors>
    <ignoredError sqref="D21:H21 D20:H20 J20 D29:Q29 I22:P22 J21:O21 L20:Q20 Q21 D31:P31 D30:O30 Q30" unlockedFormula="1"/>
    <ignoredError sqref="F22:H22" formula="1" unlockedFormula="1"/>
    <ignoredError sqref="D22:E22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autoPageBreaks="0"/>
  </sheetPr>
  <dimension ref="A1:IV33"/>
  <sheetViews>
    <sheetView showGridLines="0" topLeftCell="A4" zoomScale="80" zoomScaleNormal="80" workbookViewId="0">
      <selection activeCell="K23" sqref="K23"/>
    </sheetView>
  </sheetViews>
  <sheetFormatPr baseColWidth="10" defaultColWidth="11.42578125" defaultRowHeight="12.75" x14ac:dyDescent="0.2"/>
  <cols>
    <col min="1" max="1" width="56.42578125" customWidth="1"/>
    <col min="2" max="2" width="33.85546875" customWidth="1"/>
    <col min="3" max="3" width="12.28515625" customWidth="1"/>
    <col min="4" max="4" width="13.7109375" bestFit="1" customWidth="1"/>
    <col min="5" max="5" width="15.42578125" bestFit="1" customWidth="1"/>
    <col min="6" max="6" width="14.42578125" customWidth="1"/>
    <col min="7" max="7" width="14.85546875" customWidth="1"/>
    <col min="8" max="8" width="11.85546875" bestFit="1" customWidth="1"/>
    <col min="9" max="9" width="14.42578125" bestFit="1" customWidth="1"/>
    <col min="10" max="10" width="15.140625" customWidth="1"/>
    <col min="11" max="12" width="11.85546875" customWidth="1"/>
    <col min="13" max="13" width="14" customWidth="1"/>
    <col min="14" max="14" width="14.42578125" customWidth="1"/>
    <col min="15" max="15" width="15.28515625" customWidth="1"/>
    <col min="16" max="18" width="11.85546875" customWidth="1"/>
    <col min="19" max="19" width="32.7109375" customWidth="1"/>
    <col min="20" max="20" width="33" bestFit="1" customWidth="1"/>
    <col min="21" max="21" width="13.85546875" customWidth="1"/>
    <col min="22" max="22" width="14.42578125" bestFit="1" customWidth="1"/>
    <col min="23" max="23" width="14.42578125" customWidth="1"/>
    <col min="24" max="24" width="12.85546875" bestFit="1" customWidth="1"/>
  </cols>
  <sheetData>
    <row r="1" spans="1:256" s="4" customFormat="1" x14ac:dyDescent="0.2">
      <c r="A1" s="3"/>
      <c r="F1" s="33" t="s">
        <v>199</v>
      </c>
      <c r="S1" s="3"/>
      <c r="IU1" s="2"/>
      <c r="IV1" s="2"/>
    </row>
    <row r="2" spans="1:256" s="4" customFormat="1" x14ac:dyDescent="0.2">
      <c r="A2" s="5"/>
      <c r="F2" s="33" t="s">
        <v>192</v>
      </c>
      <c r="S2" s="5"/>
      <c r="IU2" s="2"/>
      <c r="IV2" s="2"/>
    </row>
    <row r="3" spans="1:256" s="4" customFormat="1" x14ac:dyDescent="0.2">
      <c r="A3" s="2"/>
      <c r="S3" s="2"/>
      <c r="IU3" s="2"/>
      <c r="IV3" s="2"/>
    </row>
    <row r="4" spans="1:256" s="4" customFormat="1" ht="13.5" thickBot="1" x14ac:dyDescent="0.25">
      <c r="A4" s="2"/>
      <c r="B4" s="16"/>
      <c r="S4" s="2"/>
      <c r="T4" s="16"/>
      <c r="IL4" s="2"/>
      <c r="IM4" s="2"/>
      <c r="IN4" s="2"/>
      <c r="IO4" s="2"/>
      <c r="IP4" s="2"/>
      <c r="IQ4" s="2"/>
    </row>
    <row r="5" spans="1:256" s="4" customFormat="1" ht="18" customHeight="1" thickBot="1" x14ac:dyDescent="0.25">
      <c r="A5" s="2"/>
      <c r="B5" s="16"/>
      <c r="C5" s="723" t="s">
        <v>0</v>
      </c>
      <c r="D5" s="782"/>
      <c r="E5" s="6"/>
      <c r="F5" s="753" t="s">
        <v>251</v>
      </c>
      <c r="G5" s="754"/>
      <c r="S5" s="2"/>
      <c r="T5" s="16"/>
      <c r="V5" s="1"/>
      <c r="W5" s="1"/>
      <c r="IL5" s="2"/>
      <c r="IM5" s="2"/>
      <c r="IN5" s="2"/>
      <c r="IO5" s="2"/>
      <c r="IP5" s="2"/>
      <c r="IQ5" s="2"/>
    </row>
    <row r="6" spans="1:256" s="4" customFormat="1" ht="18" customHeight="1" x14ac:dyDescent="0.2">
      <c r="A6" s="2"/>
      <c r="B6" s="16"/>
      <c r="C6" s="6"/>
      <c r="D6" s="6"/>
      <c r="E6" s="6"/>
      <c r="F6" s="33"/>
      <c r="G6" s="33"/>
      <c r="S6" s="2"/>
      <c r="T6" s="16"/>
      <c r="V6" s="1"/>
      <c r="W6" s="1"/>
      <c r="IL6" s="2"/>
      <c r="IM6" s="2"/>
      <c r="IN6" s="2"/>
      <c r="IO6" s="2"/>
      <c r="IP6" s="2"/>
      <c r="IQ6" s="2"/>
    </row>
    <row r="7" spans="1:256" s="4" customFormat="1" ht="18" customHeight="1" x14ac:dyDescent="0.2">
      <c r="A7" s="2"/>
      <c r="B7" s="16"/>
      <c r="C7" s="6"/>
      <c r="D7" s="6"/>
      <c r="E7" s="6"/>
      <c r="F7" s="33"/>
      <c r="G7" s="33"/>
      <c r="S7" s="2"/>
      <c r="T7" s="16"/>
      <c r="V7" s="38"/>
      <c r="W7" s="38"/>
      <c r="IL7" s="2"/>
      <c r="IM7" s="2"/>
      <c r="IN7" s="2"/>
      <c r="IO7" s="2"/>
      <c r="IP7" s="2"/>
      <c r="IQ7" s="2"/>
    </row>
    <row r="8" spans="1:256" s="4" customFormat="1" ht="15.75" x14ac:dyDescent="0.2">
      <c r="A8" s="763" t="s">
        <v>146</v>
      </c>
      <c r="B8" s="763"/>
      <c r="C8" s="763"/>
      <c r="D8" s="763"/>
      <c r="E8" s="67"/>
      <c r="F8" s="33"/>
      <c r="G8" s="33"/>
      <c r="IL8" s="2"/>
      <c r="IM8" s="2"/>
      <c r="IN8" s="2"/>
      <c r="IO8" s="2"/>
      <c r="IP8" s="2"/>
      <c r="IQ8" s="2"/>
    </row>
    <row r="9" spans="1:256" ht="13.5" customHeight="1" thickBot="1" x14ac:dyDescent="0.25"/>
    <row r="10" spans="1:256" ht="15.75" customHeight="1" thickBot="1" x14ac:dyDescent="0.25">
      <c r="A10" s="764" t="s">
        <v>134</v>
      </c>
      <c r="B10" s="758" t="s">
        <v>5</v>
      </c>
      <c r="C10" s="760" t="s">
        <v>253</v>
      </c>
      <c r="D10" s="761"/>
      <c r="E10" s="761"/>
      <c r="F10" s="761"/>
      <c r="G10" s="762"/>
      <c r="H10" s="776" t="s">
        <v>109</v>
      </c>
      <c r="I10" s="777"/>
      <c r="J10" s="777"/>
      <c r="K10" s="777"/>
      <c r="L10" s="778"/>
      <c r="M10" s="773" t="s">
        <v>257</v>
      </c>
      <c r="N10" s="774"/>
      <c r="O10" s="774"/>
      <c r="P10" s="774"/>
      <c r="Q10" s="775"/>
      <c r="R10" s="12"/>
    </row>
    <row r="11" spans="1:256" ht="79.5" customHeight="1" thickBot="1" x14ac:dyDescent="0.25">
      <c r="A11" s="765"/>
      <c r="B11" s="759"/>
      <c r="C11" s="303" t="s">
        <v>87</v>
      </c>
      <c r="D11" s="304" t="s">
        <v>135</v>
      </c>
      <c r="E11" s="304" t="s">
        <v>136</v>
      </c>
      <c r="F11" s="304" t="s">
        <v>88</v>
      </c>
      <c r="G11" s="503" t="s">
        <v>89</v>
      </c>
      <c r="H11" s="462" t="s">
        <v>87</v>
      </c>
      <c r="I11" s="513" t="s">
        <v>135</v>
      </c>
      <c r="J11" s="513" t="s">
        <v>136</v>
      </c>
      <c r="K11" s="309" t="s">
        <v>88</v>
      </c>
      <c r="L11" s="310" t="s">
        <v>89</v>
      </c>
      <c r="M11" s="618" t="s">
        <v>87</v>
      </c>
      <c r="N11" s="619" t="s">
        <v>135</v>
      </c>
      <c r="O11" s="619" t="s">
        <v>136</v>
      </c>
      <c r="P11" s="619" t="s">
        <v>88</v>
      </c>
      <c r="Q11" s="620" t="s">
        <v>89</v>
      </c>
      <c r="R11" s="12"/>
    </row>
    <row r="12" spans="1:256" ht="13.5" customHeight="1" x14ac:dyDescent="0.2">
      <c r="A12" s="779" t="s">
        <v>206</v>
      </c>
      <c r="B12" s="598" t="s">
        <v>127</v>
      </c>
      <c r="C12" s="596">
        <v>100100</v>
      </c>
      <c r="D12" s="302">
        <v>135100</v>
      </c>
      <c r="E12" s="302">
        <v>140100</v>
      </c>
      <c r="F12" s="302">
        <v>156600</v>
      </c>
      <c r="G12" s="504">
        <v>185100</v>
      </c>
      <c r="H12" s="514">
        <v>4.4999999999999998E-2</v>
      </c>
      <c r="I12" s="499">
        <f>+H12</f>
        <v>4.4999999999999998E-2</v>
      </c>
      <c r="J12" s="499">
        <f>+H12</f>
        <v>4.4999999999999998E-2</v>
      </c>
      <c r="K12" s="499">
        <f>+H12</f>
        <v>4.4999999999999998E-2</v>
      </c>
      <c r="L12" s="587">
        <f>+H12</f>
        <v>4.4999999999999998E-2</v>
      </c>
      <c r="M12" s="615">
        <f>CEILING(C12*(1+H12),100)</f>
        <v>104700</v>
      </c>
      <c r="N12" s="616">
        <f>+CEILING(C12*(1.35)*(1+I12),100)</f>
        <v>141300</v>
      </c>
      <c r="O12" s="616">
        <f>+CEILING(C12*(1.4)*(1+J12),100)</f>
        <v>146500</v>
      </c>
      <c r="P12" s="616">
        <f t="shared" ref="P12:Q15" si="0">+CEILING(F12*(1+K12),100)</f>
        <v>163700</v>
      </c>
      <c r="Q12" s="617">
        <f t="shared" si="0"/>
        <v>193500</v>
      </c>
      <c r="R12" s="51"/>
    </row>
    <row r="13" spans="1:256" ht="13.5" customHeight="1" x14ac:dyDescent="0.2">
      <c r="A13" s="780"/>
      <c r="B13" s="599" t="s">
        <v>252</v>
      </c>
      <c r="C13" s="596">
        <v>156400</v>
      </c>
      <c r="D13" s="302">
        <v>211100</v>
      </c>
      <c r="E13" s="302">
        <v>218900</v>
      </c>
      <c r="F13" s="302">
        <v>195500</v>
      </c>
      <c r="G13" s="504">
        <v>234400</v>
      </c>
      <c r="H13" s="305">
        <v>4.4999999999999998E-2</v>
      </c>
      <c r="I13" s="306">
        <f>+H13</f>
        <v>4.4999999999999998E-2</v>
      </c>
      <c r="J13" s="306">
        <f>+H13</f>
        <v>4.4999999999999998E-2</v>
      </c>
      <c r="K13" s="306">
        <f>+H13</f>
        <v>4.4999999999999998E-2</v>
      </c>
      <c r="L13" s="515">
        <f>+H13</f>
        <v>4.4999999999999998E-2</v>
      </c>
      <c r="M13" s="508">
        <f>CEILING(C13*(1+H13),100)</f>
        <v>163500</v>
      </c>
      <c r="N13" s="311">
        <f t="shared" ref="N13:N16" si="1">+CEILING(C13*(1.35)*(1+I13),100)</f>
        <v>220700</v>
      </c>
      <c r="O13" s="311">
        <f t="shared" ref="O13:O16" si="2">+CEILING(C13*(1.4)*(1+J13),100)</f>
        <v>228900</v>
      </c>
      <c r="P13" s="311">
        <f>+CEILING(F13*(1+K13),100)</f>
        <v>204300</v>
      </c>
      <c r="Q13" s="312">
        <f t="shared" si="0"/>
        <v>245000</v>
      </c>
      <c r="R13" s="51"/>
    </row>
    <row r="14" spans="1:256" ht="13.5" customHeight="1" x14ac:dyDescent="0.2">
      <c r="A14" s="780"/>
      <c r="B14" s="599" t="s">
        <v>207</v>
      </c>
      <c r="C14" s="596">
        <v>141400</v>
      </c>
      <c r="D14" s="302">
        <v>190900</v>
      </c>
      <c r="E14" s="302">
        <v>197900</v>
      </c>
      <c r="F14" s="302">
        <v>212200</v>
      </c>
      <c r="G14" s="504">
        <v>248700</v>
      </c>
      <c r="H14" s="305">
        <v>4.4999999999999998E-2</v>
      </c>
      <c r="I14" s="306">
        <f>+H14</f>
        <v>4.4999999999999998E-2</v>
      </c>
      <c r="J14" s="306">
        <f>+H14</f>
        <v>4.4999999999999998E-2</v>
      </c>
      <c r="K14" s="306">
        <f>+H14</f>
        <v>4.4999999999999998E-2</v>
      </c>
      <c r="L14" s="515">
        <f t="shared" ref="L14:L18" si="3">+H14</f>
        <v>4.4999999999999998E-2</v>
      </c>
      <c r="M14" s="508">
        <f>CEILING(C14*(1+H14),100)</f>
        <v>147800</v>
      </c>
      <c r="N14" s="311">
        <f t="shared" si="1"/>
        <v>199500</v>
      </c>
      <c r="O14" s="311">
        <f t="shared" si="2"/>
        <v>206900</v>
      </c>
      <c r="P14" s="311">
        <f t="shared" si="0"/>
        <v>221800</v>
      </c>
      <c r="Q14" s="312">
        <f t="shared" si="0"/>
        <v>259900</v>
      </c>
      <c r="R14" s="51"/>
    </row>
    <row r="15" spans="1:256" ht="13.5" customHeight="1" thickBot="1" x14ac:dyDescent="0.25">
      <c r="A15" s="781"/>
      <c r="B15" s="600" t="s">
        <v>208</v>
      </c>
      <c r="C15" s="597">
        <v>212900</v>
      </c>
      <c r="D15" s="496">
        <v>287400</v>
      </c>
      <c r="E15" s="496">
        <v>298000</v>
      </c>
      <c r="F15" s="496">
        <v>266100</v>
      </c>
      <c r="G15" s="505">
        <v>276700</v>
      </c>
      <c r="H15" s="307">
        <v>4.4999999999999998E-2</v>
      </c>
      <c r="I15" s="308">
        <f>+H15</f>
        <v>4.4999999999999998E-2</v>
      </c>
      <c r="J15" s="308">
        <f>+H15</f>
        <v>4.4999999999999998E-2</v>
      </c>
      <c r="K15" s="308">
        <f>+H15</f>
        <v>4.4999999999999998E-2</v>
      </c>
      <c r="L15" s="516">
        <f t="shared" si="3"/>
        <v>4.4999999999999998E-2</v>
      </c>
      <c r="M15" s="509">
        <f>CEILING(C15*(1+H15),100)</f>
        <v>222500</v>
      </c>
      <c r="N15" s="497">
        <f t="shared" si="1"/>
        <v>300400</v>
      </c>
      <c r="O15" s="497">
        <f t="shared" si="2"/>
        <v>311500</v>
      </c>
      <c r="P15" s="497">
        <f t="shared" si="0"/>
        <v>278100</v>
      </c>
      <c r="Q15" s="498">
        <f t="shared" si="0"/>
        <v>289200</v>
      </c>
    </row>
    <row r="16" spans="1:256" ht="12.75" customHeight="1" x14ac:dyDescent="0.2">
      <c r="A16" s="770" t="s">
        <v>244</v>
      </c>
      <c r="B16" s="605" t="s">
        <v>219</v>
      </c>
      <c r="C16" s="414">
        <v>397800</v>
      </c>
      <c r="D16" s="415">
        <v>537000</v>
      </c>
      <c r="E16" s="415">
        <v>556900</v>
      </c>
      <c r="F16" s="415">
        <v>497200</v>
      </c>
      <c r="G16" s="506">
        <v>596600</v>
      </c>
      <c r="H16" s="591">
        <v>0.1</v>
      </c>
      <c r="I16" s="592">
        <f t="shared" ref="I16:I18" si="4">+H16</f>
        <v>0.1</v>
      </c>
      <c r="J16" s="592">
        <f t="shared" ref="J16:J18" si="5">+H16</f>
        <v>0.1</v>
      </c>
      <c r="K16" s="592">
        <f t="shared" ref="K16:K18" si="6">+H16</f>
        <v>0.1</v>
      </c>
      <c r="L16" s="593">
        <f t="shared" si="3"/>
        <v>0.1</v>
      </c>
      <c r="M16" s="510">
        <f>CEILING(C16*(1+H16),100)</f>
        <v>437600</v>
      </c>
      <c r="N16" s="415">
        <f t="shared" si="1"/>
        <v>590800</v>
      </c>
      <c r="O16" s="415">
        <f t="shared" si="2"/>
        <v>612700</v>
      </c>
      <c r="P16" s="415">
        <f>+CEILING(F16*(1+K16),100)</f>
        <v>547000</v>
      </c>
      <c r="Q16" s="500">
        <f>+CEILING(G16*(1+L16),100)</f>
        <v>656300</v>
      </c>
    </row>
    <row r="17" spans="1:17" x14ac:dyDescent="0.2">
      <c r="A17" s="771"/>
      <c r="B17" s="606" t="s">
        <v>220</v>
      </c>
      <c r="C17" s="501"/>
      <c r="D17" s="495"/>
      <c r="E17" s="495"/>
      <c r="F17" s="495"/>
      <c r="G17" s="507"/>
      <c r="H17" s="501"/>
      <c r="I17" s="495"/>
      <c r="J17" s="495"/>
      <c r="K17" s="495"/>
      <c r="L17" s="502"/>
      <c r="M17" s="511"/>
      <c r="N17" s="495"/>
      <c r="O17" s="495"/>
      <c r="P17" s="495"/>
      <c r="Q17" s="502"/>
    </row>
    <row r="18" spans="1:17" ht="13.5" thickBot="1" x14ac:dyDescent="0.25">
      <c r="A18" s="772"/>
      <c r="B18" s="607" t="s">
        <v>221</v>
      </c>
      <c r="C18" s="517">
        <v>238900</v>
      </c>
      <c r="D18" s="518">
        <v>322600</v>
      </c>
      <c r="E18" s="518">
        <v>334500</v>
      </c>
      <c r="F18" s="518">
        <v>358100</v>
      </c>
      <c r="G18" s="519">
        <v>477400</v>
      </c>
      <c r="H18" s="307">
        <v>0.1</v>
      </c>
      <c r="I18" s="308">
        <f t="shared" si="4"/>
        <v>0.1</v>
      </c>
      <c r="J18" s="308">
        <f t="shared" si="5"/>
        <v>0.1</v>
      </c>
      <c r="K18" s="308">
        <f t="shared" si="6"/>
        <v>0.1</v>
      </c>
      <c r="L18" s="516">
        <f t="shared" si="3"/>
        <v>0.1</v>
      </c>
      <c r="M18" s="512">
        <f>CEILING(C18*(1+H18),100)</f>
        <v>262800</v>
      </c>
      <c r="N18" s="313">
        <f>+CEILING(C18*(1.35)*(1+I18),100)</f>
        <v>354800</v>
      </c>
      <c r="O18" s="313">
        <f>+CEILING(C18*(1.4)*(1+J18),100)</f>
        <v>368000</v>
      </c>
      <c r="P18" s="313">
        <f>+CEILING(F18*(1+K18),100)</f>
        <v>394000</v>
      </c>
      <c r="Q18" s="314">
        <f>+CEILING(G18*(1+L18),100)</f>
        <v>525200</v>
      </c>
    </row>
    <row r="19" spans="1:17" ht="12.75" customHeight="1" x14ac:dyDescent="0.2"/>
    <row r="22" spans="1:17" x14ac:dyDescent="0.2">
      <c r="D22" s="118"/>
    </row>
    <row r="23" spans="1:17" ht="15.75" x14ac:dyDescent="0.2">
      <c r="A23" s="763" t="s">
        <v>147</v>
      </c>
      <c r="B23" s="763"/>
      <c r="C23" s="763"/>
      <c r="D23" s="763"/>
      <c r="E23" s="763"/>
      <c r="F23" s="763"/>
      <c r="G23" s="4"/>
      <c r="H23" s="4"/>
    </row>
    <row r="24" spans="1:17" ht="13.5" thickBot="1" x14ac:dyDescent="0.25"/>
    <row r="25" spans="1:17" ht="16.5" thickBot="1" x14ac:dyDescent="0.25">
      <c r="A25" s="768" t="s">
        <v>134</v>
      </c>
      <c r="B25" s="766" t="s">
        <v>5</v>
      </c>
      <c r="C25" s="755" t="s">
        <v>258</v>
      </c>
      <c r="D25" s="756"/>
      <c r="E25" s="756"/>
      <c r="F25" s="756"/>
      <c r="G25" s="756"/>
      <c r="H25" s="757"/>
    </row>
    <row r="26" spans="1:17" ht="64.5" thickBot="1" x14ac:dyDescent="0.25">
      <c r="A26" s="769"/>
      <c r="B26" s="767"/>
      <c r="C26" s="482" t="s">
        <v>87</v>
      </c>
      <c r="D26" s="63" t="s">
        <v>135</v>
      </c>
      <c r="E26" s="63" t="s">
        <v>136</v>
      </c>
      <c r="F26" s="63" t="s">
        <v>88</v>
      </c>
      <c r="G26" s="486" t="s">
        <v>89</v>
      </c>
      <c r="H26" s="491" t="s">
        <v>133</v>
      </c>
    </row>
    <row r="27" spans="1:17" ht="20.100000000000001" customHeight="1" x14ac:dyDescent="0.2">
      <c r="A27" s="749" t="str">
        <f>+A12</f>
        <v>Jardín Infantil Mar y Cielo</v>
      </c>
      <c r="B27" s="477" t="str">
        <f>+B12</f>
        <v>Media jornada</v>
      </c>
      <c r="C27" s="483">
        <v>6</v>
      </c>
      <c r="D27" s="376"/>
      <c r="E27" s="376"/>
      <c r="F27" s="376"/>
      <c r="G27" s="487"/>
      <c r="H27" s="492">
        <f>SUM(C27:G27)</f>
        <v>6</v>
      </c>
    </row>
    <row r="28" spans="1:17" ht="20.100000000000001" customHeight="1" x14ac:dyDescent="0.2">
      <c r="A28" s="750"/>
      <c r="B28" s="594" t="s">
        <v>252</v>
      </c>
      <c r="C28" s="602">
        <v>8</v>
      </c>
      <c r="D28" s="601"/>
      <c r="E28" s="601"/>
      <c r="F28" s="601"/>
      <c r="G28" s="603">
        <v>1</v>
      </c>
      <c r="H28" s="604">
        <f>SUM(C28:G28)</f>
        <v>9</v>
      </c>
    </row>
    <row r="29" spans="1:17" ht="20.100000000000001" customHeight="1" thickBot="1" x14ac:dyDescent="0.25">
      <c r="A29" s="751"/>
      <c r="B29" s="478" t="str">
        <f>+B14</f>
        <v xml:space="preserve">Doble jornada </v>
      </c>
      <c r="C29" s="595">
        <v>0</v>
      </c>
      <c r="D29" s="216"/>
      <c r="E29" s="216"/>
      <c r="F29" s="216"/>
      <c r="G29" s="488"/>
      <c r="H29" s="604">
        <f>SUM(C29:G29)</f>
        <v>0</v>
      </c>
    </row>
    <row r="30" spans="1:17" ht="20.100000000000001" customHeight="1" thickBot="1" x14ac:dyDescent="0.25">
      <c r="A30" s="752"/>
      <c r="B30" s="479" t="str">
        <f>+B15</f>
        <v>Jornada completa</v>
      </c>
      <c r="C30" s="485">
        <v>35</v>
      </c>
      <c r="D30" s="117"/>
      <c r="E30" s="117"/>
      <c r="F30" s="117"/>
      <c r="G30" s="490"/>
      <c r="H30" s="494">
        <f t="shared" ref="H30" si="7">SUM(C30:G30)</f>
        <v>35</v>
      </c>
      <c r="I30" s="481">
        <f>SUM(H27:H30)</f>
        <v>50</v>
      </c>
    </row>
    <row r="31" spans="1:17" ht="19.5" customHeight="1" x14ac:dyDescent="0.2">
      <c r="A31" s="746" t="str">
        <f>+A16</f>
        <v>Sala Cuna Mar y Cielo Diurna</v>
      </c>
      <c r="B31" s="477" t="str">
        <f t="shared" ref="B31:B33" si="8">+B16</f>
        <v>Diurna</v>
      </c>
      <c r="C31" s="483">
        <v>13</v>
      </c>
      <c r="D31" s="376"/>
      <c r="E31" s="376"/>
      <c r="F31" s="376"/>
      <c r="G31" s="487"/>
      <c r="H31" s="621">
        <f>SUM(C31:G31)</f>
        <v>13</v>
      </c>
    </row>
    <row r="32" spans="1:17" ht="19.5" customHeight="1" thickBot="1" x14ac:dyDescent="0.25">
      <c r="A32" s="747"/>
      <c r="B32" s="478" t="str">
        <f t="shared" si="8"/>
        <v>Nocturna</v>
      </c>
      <c r="C32" s="484"/>
      <c r="D32" s="476"/>
      <c r="E32" s="476"/>
      <c r="F32" s="476"/>
      <c r="G32" s="489"/>
      <c r="H32" s="493"/>
    </row>
    <row r="33" spans="1:9" ht="19.5" customHeight="1" thickBot="1" x14ac:dyDescent="0.25">
      <c r="A33" s="748"/>
      <c r="B33" s="480" t="str">
        <f t="shared" si="8"/>
        <v>Media Jornada</v>
      </c>
      <c r="C33" s="485"/>
      <c r="D33" s="117"/>
      <c r="E33" s="117"/>
      <c r="F33" s="117"/>
      <c r="G33" s="490"/>
      <c r="H33" s="494">
        <f>SUM(C33:G33)</f>
        <v>0</v>
      </c>
      <c r="I33" s="481">
        <f>SUM(H31:H33)</f>
        <v>13</v>
      </c>
    </row>
  </sheetData>
  <sheetProtection algorithmName="SHA-512" hashValue="Z6xl1RNWhrjhpR8E02R3UkBIF3zXA4CH4qKG8uMzHnTH5F8fPoStPNO/Ei9u8OSljB0zUStH2hUeY61pw4WGKA==" saltValue="FDSez7PV8fizm++RMci73g==" spinCount="100000" sheet="1" objects="1" scenarios="1"/>
  <mergeCells count="16">
    <mergeCell ref="M10:Q10"/>
    <mergeCell ref="A23:F23"/>
    <mergeCell ref="H10:L10"/>
    <mergeCell ref="A12:A15"/>
    <mergeCell ref="C5:D5"/>
    <mergeCell ref="A31:A33"/>
    <mergeCell ref="A27:A30"/>
    <mergeCell ref="F5:G5"/>
    <mergeCell ref="C25:H25"/>
    <mergeCell ref="B10:B11"/>
    <mergeCell ref="C10:G10"/>
    <mergeCell ref="A8:D8"/>
    <mergeCell ref="A10:A11"/>
    <mergeCell ref="B25:B26"/>
    <mergeCell ref="A25:A26"/>
    <mergeCell ref="A16:A18"/>
  </mergeCells>
  <pageMargins left="0.7" right="0.7" top="0.75" bottom="0.75" header="0.3" footer="0.3"/>
  <pageSetup paperSize="9" orientation="portrait" r:id="rId1"/>
  <ignoredErrors>
    <ignoredError sqref="K12:L12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  <pageSetUpPr fitToPage="1"/>
  </sheetPr>
  <dimension ref="A1:P142"/>
  <sheetViews>
    <sheetView showGridLines="0" topLeftCell="C25" zoomScale="80" zoomScaleNormal="80" workbookViewId="0">
      <selection activeCell="F75" sqref="F75"/>
    </sheetView>
  </sheetViews>
  <sheetFormatPr baseColWidth="10" defaultColWidth="11.42578125" defaultRowHeight="12.75" x14ac:dyDescent="0.2"/>
  <cols>
    <col min="1" max="1" width="30.28515625" style="2" customWidth="1"/>
    <col min="2" max="2" width="21.140625" style="2" customWidth="1"/>
    <col min="3" max="3" width="57.42578125" style="2" bestFit="1" customWidth="1"/>
    <col min="4" max="4" width="17" style="2" customWidth="1"/>
    <col min="5" max="5" width="14.28515625" style="2" customWidth="1"/>
    <col min="6" max="6" width="14.42578125" style="17" customWidth="1"/>
    <col min="7" max="7" width="15.28515625" style="4" bestFit="1" customWidth="1"/>
    <col min="8" max="8" width="23" style="4" customWidth="1"/>
    <col min="9" max="9" width="20.7109375" style="2" hidden="1" customWidth="1"/>
    <col min="10" max="10" width="13.85546875" style="2" bestFit="1" customWidth="1"/>
    <col min="11" max="11" width="16.28515625" style="2" customWidth="1"/>
    <col min="12" max="12" width="11.42578125" style="2"/>
    <col min="13" max="13" width="97.85546875" style="2" customWidth="1"/>
    <col min="14" max="14" width="12.85546875" style="2" bestFit="1" customWidth="1"/>
    <col min="15" max="15" width="15.140625" style="2" customWidth="1"/>
    <col min="16" max="16" width="14.7109375" style="2" customWidth="1"/>
    <col min="17" max="16384" width="11.42578125" style="2"/>
  </cols>
  <sheetData>
    <row r="1" spans="1:16" x14ac:dyDescent="0.2">
      <c r="C1" s="33"/>
      <c r="D1" s="33" t="s">
        <v>200</v>
      </c>
      <c r="E1" s="33"/>
      <c r="F1" s="33"/>
      <c r="G1" s="33"/>
      <c r="H1" s="33"/>
    </row>
    <row r="2" spans="1:16" x14ac:dyDescent="0.2">
      <c r="C2" s="33"/>
      <c r="D2" s="33" t="s">
        <v>209</v>
      </c>
      <c r="E2" s="33"/>
      <c r="F2" s="33"/>
      <c r="G2" s="33"/>
      <c r="H2" s="33"/>
    </row>
    <row r="3" spans="1:16" x14ac:dyDescent="0.2">
      <c r="C3" s="33"/>
      <c r="E3" s="33"/>
      <c r="F3" s="33"/>
      <c r="G3" s="33"/>
      <c r="H3" s="33"/>
    </row>
    <row r="4" spans="1:16" ht="15.75" x14ac:dyDescent="0.2">
      <c r="C4" s="6" t="s">
        <v>0</v>
      </c>
      <c r="D4" s="802" t="s">
        <v>148</v>
      </c>
      <c r="E4" s="803"/>
      <c r="F4" s="33"/>
      <c r="G4" s="33"/>
      <c r="H4" s="33"/>
    </row>
    <row r="5" spans="1:16" x14ac:dyDescent="0.2">
      <c r="B5" s="33"/>
      <c r="C5" s="33"/>
      <c r="D5" s="33"/>
      <c r="E5" s="33"/>
      <c r="F5" s="33"/>
      <c r="G5" s="33"/>
      <c r="H5" s="33"/>
    </row>
    <row r="6" spans="1:16" x14ac:dyDescent="0.2">
      <c r="B6" s="33"/>
      <c r="C6" s="33"/>
      <c r="D6" s="33"/>
      <c r="E6" s="33"/>
      <c r="F6" s="33"/>
      <c r="G6" s="33"/>
      <c r="H6" s="33"/>
    </row>
    <row r="7" spans="1:16" x14ac:dyDescent="0.2">
      <c r="C7" s="4"/>
    </row>
    <row r="8" spans="1:16" ht="15.75" x14ac:dyDescent="0.2">
      <c r="A8" s="763" t="s">
        <v>149</v>
      </c>
      <c r="B8" s="763"/>
      <c r="C8" s="763"/>
      <c r="D8" s="33"/>
      <c r="G8" s="2"/>
    </row>
    <row r="10" spans="1:16" x14ac:dyDescent="0.2">
      <c r="A10" s="806" t="s">
        <v>115</v>
      </c>
      <c r="B10" s="804" t="s">
        <v>76</v>
      </c>
      <c r="C10" s="810" t="s">
        <v>77</v>
      </c>
      <c r="D10" s="808" t="s">
        <v>78</v>
      </c>
      <c r="E10" s="807" t="s">
        <v>79</v>
      </c>
      <c r="F10" s="807"/>
      <c r="G10" s="807"/>
      <c r="H10" s="809" t="s">
        <v>259</v>
      </c>
      <c r="I10" s="791" t="s">
        <v>75</v>
      </c>
      <c r="M10" s="783" t="s">
        <v>224</v>
      </c>
      <c r="N10" s="785" t="s">
        <v>218</v>
      </c>
      <c r="O10" s="785" t="s">
        <v>222</v>
      </c>
      <c r="P10" s="785" t="s">
        <v>223</v>
      </c>
    </row>
    <row r="11" spans="1:16" ht="25.5" x14ac:dyDescent="0.2">
      <c r="A11" s="795"/>
      <c r="B11" s="805"/>
      <c r="C11" s="799"/>
      <c r="D11" s="808"/>
      <c r="E11" s="204" t="s">
        <v>67</v>
      </c>
      <c r="F11" s="205" t="s">
        <v>68</v>
      </c>
      <c r="G11" s="463" t="s">
        <v>6</v>
      </c>
      <c r="H11" s="790"/>
      <c r="I11" s="792"/>
      <c r="M11" s="784"/>
      <c r="N11" s="786"/>
      <c r="O11" s="786"/>
      <c r="P11" s="786"/>
    </row>
    <row r="12" spans="1:16" x14ac:dyDescent="0.2">
      <c r="A12" s="793" t="str">
        <f>+'B) Reajuste Tarifas y Ocupación'!A12</f>
        <v>Jardín Infantil Mar y Cielo</v>
      </c>
      <c r="B12" s="454"/>
      <c r="C12" s="190" t="s">
        <v>11</v>
      </c>
      <c r="D12" s="199">
        <f>SUM(D13,D18)</f>
        <v>67672150.200000003</v>
      </c>
      <c r="E12" s="200"/>
      <c r="F12" s="200"/>
      <c r="G12" s="206">
        <f>SUM(G13,G18)</f>
        <v>6122640</v>
      </c>
      <c r="H12" s="197">
        <f>SUM(H13,H18)</f>
        <v>73794790.200000003</v>
      </c>
      <c r="I12" s="409"/>
      <c r="M12" s="528" t="s">
        <v>11</v>
      </c>
      <c r="N12" s="529"/>
      <c r="O12" s="529"/>
      <c r="P12" s="529"/>
    </row>
    <row r="13" spans="1:16" x14ac:dyDescent="0.2">
      <c r="A13" s="793"/>
      <c r="B13" s="455"/>
      <c r="C13" s="186" t="s">
        <v>12</v>
      </c>
      <c r="D13" s="188">
        <f>SUM(D14:D17)</f>
        <v>23456635</v>
      </c>
      <c r="E13" s="189"/>
      <c r="F13" s="189"/>
      <c r="G13" s="207">
        <f>SUM(G14:G17)</f>
        <v>150000</v>
      </c>
      <c r="H13" s="193">
        <f>SUM(H14:H17)</f>
        <v>23606635</v>
      </c>
      <c r="I13" s="409"/>
      <c r="M13" s="530" t="s">
        <v>16</v>
      </c>
      <c r="N13" s="531"/>
      <c r="O13" s="531"/>
      <c r="P13" s="531"/>
    </row>
    <row r="14" spans="1:16" x14ac:dyDescent="0.2">
      <c r="A14" s="793"/>
      <c r="B14" s="456">
        <v>53103040100000</v>
      </c>
      <c r="C14" s="182" t="s">
        <v>96</v>
      </c>
      <c r="D14" s="212">
        <f>+'F) Remuneraciones'!L11</f>
        <v>23306635</v>
      </c>
      <c r="E14" s="208"/>
      <c r="F14" s="209"/>
      <c r="G14" s="198">
        <f>E14*F14</f>
        <v>0</v>
      </c>
      <c r="H14" s="192">
        <f>D14+G14</f>
        <v>23306635</v>
      </c>
      <c r="I14" s="409"/>
      <c r="M14" s="532" t="s">
        <v>174</v>
      </c>
      <c r="N14" s="406">
        <v>0</v>
      </c>
      <c r="O14" s="407">
        <f t="shared" ref="O14:O61" si="0">N14*0.8</f>
        <v>0</v>
      </c>
      <c r="P14" s="407">
        <f t="shared" ref="P14:P61" si="1">N14*0.2</f>
        <v>0</v>
      </c>
    </row>
    <row r="15" spans="1:16" x14ac:dyDescent="0.2">
      <c r="A15" s="793"/>
      <c r="B15" s="456">
        <v>53103050000000</v>
      </c>
      <c r="C15" s="182" t="s">
        <v>168</v>
      </c>
      <c r="D15" s="183">
        <v>0</v>
      </c>
      <c r="E15" s="185">
        <v>0</v>
      </c>
      <c r="F15" s="184">
        <v>0</v>
      </c>
      <c r="G15" s="198">
        <f>E15*F15</f>
        <v>0</v>
      </c>
      <c r="H15" s="192">
        <f>D15+G15</f>
        <v>0</v>
      </c>
      <c r="I15" s="409"/>
      <c r="M15" s="533" t="s">
        <v>19</v>
      </c>
      <c r="N15" s="408">
        <v>0</v>
      </c>
      <c r="O15" s="407">
        <f t="shared" si="0"/>
        <v>0</v>
      </c>
      <c r="P15" s="407">
        <f t="shared" si="1"/>
        <v>0</v>
      </c>
    </row>
    <row r="16" spans="1:16" x14ac:dyDescent="0.2">
      <c r="A16" s="793"/>
      <c r="B16" s="457">
        <v>53103040400000</v>
      </c>
      <c r="C16" s="211" t="s">
        <v>169</v>
      </c>
      <c r="D16" s="183">
        <v>0</v>
      </c>
      <c r="E16" s="185">
        <v>0</v>
      </c>
      <c r="F16" s="184">
        <v>0</v>
      </c>
      <c r="G16" s="198">
        <f>E16*F16</f>
        <v>0</v>
      </c>
      <c r="H16" s="192">
        <f>D16+G16</f>
        <v>0</v>
      </c>
      <c r="I16" s="409"/>
      <c r="M16" s="533" t="s">
        <v>175</v>
      </c>
      <c r="N16" s="408">
        <v>0</v>
      </c>
      <c r="O16" s="407">
        <f t="shared" si="0"/>
        <v>0</v>
      </c>
      <c r="P16" s="407">
        <f t="shared" si="1"/>
        <v>0</v>
      </c>
    </row>
    <row r="17" spans="1:16" x14ac:dyDescent="0.2">
      <c r="A17" s="793"/>
      <c r="B17" s="456">
        <v>53103080010000</v>
      </c>
      <c r="C17" s="182" t="s">
        <v>170</v>
      </c>
      <c r="D17" s="183">
        <v>150000</v>
      </c>
      <c r="E17" s="185">
        <v>150000</v>
      </c>
      <c r="F17" s="184">
        <v>1</v>
      </c>
      <c r="G17" s="198">
        <f>E17*F17</f>
        <v>150000</v>
      </c>
      <c r="H17" s="192">
        <f>D17+G17</f>
        <v>300000</v>
      </c>
      <c r="I17" s="409"/>
      <c r="M17" s="533" t="s">
        <v>213</v>
      </c>
      <c r="N17" s="408">
        <v>150000</v>
      </c>
      <c r="O17" s="407">
        <f t="shared" si="0"/>
        <v>120000</v>
      </c>
      <c r="P17" s="407">
        <f t="shared" si="1"/>
        <v>30000</v>
      </c>
    </row>
    <row r="18" spans="1:16" x14ac:dyDescent="0.2">
      <c r="A18" s="793"/>
      <c r="B18" s="455"/>
      <c r="C18" s="186" t="s">
        <v>16</v>
      </c>
      <c r="D18" s="188">
        <f>SUM(D19:D38)</f>
        <v>44215515.200000003</v>
      </c>
      <c r="E18" s="189"/>
      <c r="F18" s="189"/>
      <c r="G18" s="188">
        <f>SUM(G19:G38)</f>
        <v>5972640</v>
      </c>
      <c r="H18" s="193">
        <f>SUM(H19:H38)</f>
        <v>50188155.200000003</v>
      </c>
      <c r="I18" s="409"/>
      <c r="J18" s="214"/>
      <c r="M18" s="533" t="s">
        <v>22</v>
      </c>
      <c r="N18" s="408">
        <v>150000</v>
      </c>
      <c r="O18" s="407">
        <f t="shared" si="0"/>
        <v>120000</v>
      </c>
      <c r="P18" s="407">
        <f t="shared" si="1"/>
        <v>30000</v>
      </c>
    </row>
    <row r="19" spans="1:16" x14ac:dyDescent="0.2">
      <c r="A19" s="793"/>
      <c r="B19" s="456">
        <v>53201010100000</v>
      </c>
      <c r="C19" s="181" t="s">
        <v>171</v>
      </c>
      <c r="D19" s="183">
        <f>52000*10*11</f>
        <v>5720000</v>
      </c>
      <c r="E19" s="185">
        <v>520000</v>
      </c>
      <c r="F19" s="184">
        <v>10</v>
      </c>
      <c r="G19" s="198">
        <f t="shared" ref="G19:G38" si="2">E19*F19</f>
        <v>5200000</v>
      </c>
      <c r="H19" s="192">
        <f t="shared" ref="H19:H38" si="3">D19+G19</f>
        <v>10920000</v>
      </c>
      <c r="I19" s="409"/>
      <c r="M19" s="533" t="s">
        <v>177</v>
      </c>
      <c r="N19" s="408">
        <v>1130000</v>
      </c>
      <c r="O19" s="407">
        <f t="shared" si="0"/>
        <v>904000</v>
      </c>
      <c r="P19" s="407">
        <f t="shared" si="1"/>
        <v>226000</v>
      </c>
    </row>
    <row r="20" spans="1:16" x14ac:dyDescent="0.2">
      <c r="A20" s="793"/>
      <c r="B20" s="456">
        <v>53201010100000</v>
      </c>
      <c r="C20" s="181" t="s">
        <v>172</v>
      </c>
      <c r="D20" s="183">
        <f>17560*44*11</f>
        <v>8499040</v>
      </c>
      <c r="E20" s="185">
        <v>17560</v>
      </c>
      <c r="F20" s="184">
        <v>44</v>
      </c>
      <c r="G20" s="198">
        <f t="shared" ref="G20:G21" si="4">E20*F20</f>
        <v>772640</v>
      </c>
      <c r="H20" s="192">
        <f t="shared" ref="H20:H21" si="5">D20+G20</f>
        <v>9271680</v>
      </c>
      <c r="I20" s="180"/>
      <c r="M20" s="533" t="s">
        <v>24</v>
      </c>
      <c r="N20" s="408">
        <v>10639805</v>
      </c>
      <c r="O20" s="407">
        <f t="shared" si="0"/>
        <v>8511844</v>
      </c>
      <c r="P20" s="407">
        <f t="shared" si="1"/>
        <v>2127961</v>
      </c>
    </row>
    <row r="21" spans="1:16" x14ac:dyDescent="0.2">
      <c r="A21" s="793"/>
      <c r="B21" s="456">
        <v>53201010100000</v>
      </c>
      <c r="C21" s="181" t="s">
        <v>173</v>
      </c>
      <c r="D21" s="183">
        <v>0</v>
      </c>
      <c r="E21" s="185">
        <v>0</v>
      </c>
      <c r="F21" s="184">
        <v>0</v>
      </c>
      <c r="G21" s="198">
        <f t="shared" si="4"/>
        <v>0</v>
      </c>
      <c r="H21" s="192">
        <f t="shared" si="5"/>
        <v>0</v>
      </c>
      <c r="I21" s="180"/>
      <c r="M21" s="533" t="s">
        <v>25</v>
      </c>
      <c r="N21" s="408">
        <v>6149380</v>
      </c>
      <c r="O21" s="407">
        <f t="shared" si="0"/>
        <v>4919504</v>
      </c>
      <c r="P21" s="407">
        <f t="shared" si="1"/>
        <v>1229876</v>
      </c>
    </row>
    <row r="22" spans="1:16" x14ac:dyDescent="0.2">
      <c r="A22" s="793"/>
      <c r="B22" s="456">
        <v>53202010100000</v>
      </c>
      <c r="C22" s="182" t="s">
        <v>174</v>
      </c>
      <c r="D22" s="263">
        <f>+O14</f>
        <v>0</v>
      </c>
      <c r="E22" s="198">
        <v>0</v>
      </c>
      <c r="F22" s="534">
        <v>0</v>
      </c>
      <c r="G22" s="198">
        <f t="shared" si="2"/>
        <v>0</v>
      </c>
      <c r="H22" s="192">
        <f t="shared" si="3"/>
        <v>0</v>
      </c>
      <c r="I22" s="409"/>
      <c r="M22" s="533" t="s">
        <v>26</v>
      </c>
      <c r="N22" s="408">
        <v>17710409</v>
      </c>
      <c r="O22" s="407">
        <f t="shared" si="0"/>
        <v>14168327.200000001</v>
      </c>
      <c r="P22" s="407">
        <f t="shared" si="1"/>
        <v>3542081.8000000003</v>
      </c>
    </row>
    <row r="23" spans="1:16" x14ac:dyDescent="0.2">
      <c r="A23" s="793"/>
      <c r="B23" s="456">
        <v>53203010100000</v>
      </c>
      <c r="C23" s="182" t="s">
        <v>19</v>
      </c>
      <c r="D23" s="263">
        <f>+O15</f>
        <v>0</v>
      </c>
      <c r="E23" s="198">
        <v>0</v>
      </c>
      <c r="F23" s="534">
        <v>0</v>
      </c>
      <c r="G23" s="198">
        <f t="shared" si="2"/>
        <v>0</v>
      </c>
      <c r="H23" s="192">
        <f>D23+G23</f>
        <v>0</v>
      </c>
      <c r="I23" s="409"/>
      <c r="M23" s="533" t="s">
        <v>27</v>
      </c>
      <c r="N23" s="408">
        <v>0</v>
      </c>
      <c r="O23" s="407">
        <f t="shared" si="0"/>
        <v>0</v>
      </c>
      <c r="P23" s="407">
        <f t="shared" si="1"/>
        <v>0</v>
      </c>
    </row>
    <row r="24" spans="1:16" x14ac:dyDescent="0.2">
      <c r="A24" s="793"/>
      <c r="B24" s="456">
        <v>53203030000000</v>
      </c>
      <c r="C24" s="182" t="s">
        <v>175</v>
      </c>
      <c r="D24" s="263">
        <f t="shared" ref="D24:D38" si="6">+O16</f>
        <v>0</v>
      </c>
      <c r="E24" s="198">
        <v>0</v>
      </c>
      <c r="F24" s="534">
        <v>0</v>
      </c>
      <c r="G24" s="198">
        <f t="shared" si="2"/>
        <v>0</v>
      </c>
      <c r="H24" s="192">
        <f t="shared" si="3"/>
        <v>0</v>
      </c>
      <c r="I24" s="409"/>
      <c r="M24" s="533" t="s">
        <v>29</v>
      </c>
      <c r="N24" s="408">
        <v>336000</v>
      </c>
      <c r="O24" s="407">
        <f t="shared" si="0"/>
        <v>268800</v>
      </c>
      <c r="P24" s="407">
        <f t="shared" si="1"/>
        <v>67200</v>
      </c>
    </row>
    <row r="25" spans="1:16" x14ac:dyDescent="0.2">
      <c r="A25" s="793"/>
      <c r="B25" s="456">
        <v>53204030000000</v>
      </c>
      <c r="C25" s="182" t="s">
        <v>213</v>
      </c>
      <c r="D25" s="263">
        <f t="shared" si="6"/>
        <v>120000</v>
      </c>
      <c r="E25" s="198">
        <v>0</v>
      </c>
      <c r="F25" s="534">
        <v>0</v>
      </c>
      <c r="G25" s="198">
        <f t="shared" si="2"/>
        <v>0</v>
      </c>
      <c r="H25" s="192">
        <f>D25+G25</f>
        <v>120000</v>
      </c>
      <c r="I25" s="409"/>
      <c r="M25" s="533" t="s">
        <v>30</v>
      </c>
      <c r="N25" s="408">
        <v>300000</v>
      </c>
      <c r="O25" s="407">
        <f t="shared" si="0"/>
        <v>240000</v>
      </c>
      <c r="P25" s="407">
        <f t="shared" si="1"/>
        <v>60000</v>
      </c>
    </row>
    <row r="26" spans="1:16" x14ac:dyDescent="0.2">
      <c r="A26" s="793"/>
      <c r="B26" s="456">
        <v>53204100100001</v>
      </c>
      <c r="C26" s="182" t="s">
        <v>22</v>
      </c>
      <c r="D26" s="263">
        <f t="shared" si="6"/>
        <v>120000</v>
      </c>
      <c r="E26" s="198">
        <v>0</v>
      </c>
      <c r="F26" s="534">
        <v>0</v>
      </c>
      <c r="G26" s="198">
        <f t="shared" si="2"/>
        <v>0</v>
      </c>
      <c r="H26" s="192">
        <f t="shared" si="3"/>
        <v>120000</v>
      </c>
      <c r="I26" s="409"/>
      <c r="M26" s="533" t="s">
        <v>31</v>
      </c>
      <c r="N26" s="406">
        <v>300000</v>
      </c>
      <c r="O26" s="407">
        <f t="shared" si="0"/>
        <v>240000</v>
      </c>
      <c r="P26" s="407">
        <f t="shared" si="1"/>
        <v>60000</v>
      </c>
    </row>
    <row r="27" spans="1:16" x14ac:dyDescent="0.2">
      <c r="A27" s="793"/>
      <c r="B27" s="456">
        <v>53204130100000</v>
      </c>
      <c r="C27" s="182" t="s">
        <v>177</v>
      </c>
      <c r="D27" s="263">
        <f t="shared" si="6"/>
        <v>904000</v>
      </c>
      <c r="E27" s="198">
        <v>0</v>
      </c>
      <c r="F27" s="534">
        <v>0</v>
      </c>
      <c r="G27" s="198">
        <f t="shared" si="2"/>
        <v>0</v>
      </c>
      <c r="H27" s="192">
        <f t="shared" si="3"/>
        <v>904000</v>
      </c>
      <c r="I27" s="409"/>
      <c r="M27" s="533" t="s">
        <v>178</v>
      </c>
      <c r="N27" s="408">
        <v>0</v>
      </c>
      <c r="O27" s="407">
        <f t="shared" si="0"/>
        <v>0</v>
      </c>
      <c r="P27" s="407">
        <f t="shared" si="1"/>
        <v>0</v>
      </c>
    </row>
    <row r="28" spans="1:16" x14ac:dyDescent="0.2">
      <c r="A28" s="793"/>
      <c r="B28" s="456">
        <v>53205010100000</v>
      </c>
      <c r="C28" s="182" t="s">
        <v>24</v>
      </c>
      <c r="D28" s="263">
        <f t="shared" si="6"/>
        <v>8511844</v>
      </c>
      <c r="E28" s="198">
        <v>0</v>
      </c>
      <c r="F28" s="534">
        <v>0</v>
      </c>
      <c r="G28" s="198">
        <f t="shared" si="2"/>
        <v>0</v>
      </c>
      <c r="H28" s="192">
        <f t="shared" si="3"/>
        <v>8511844</v>
      </c>
      <c r="I28" s="409"/>
      <c r="M28" s="533" t="s">
        <v>32</v>
      </c>
      <c r="N28" s="408">
        <v>0</v>
      </c>
      <c r="O28" s="407">
        <f t="shared" si="0"/>
        <v>0</v>
      </c>
      <c r="P28" s="407">
        <f t="shared" si="1"/>
        <v>0</v>
      </c>
    </row>
    <row r="29" spans="1:16" x14ac:dyDescent="0.2">
      <c r="A29" s="793"/>
      <c r="B29" s="456">
        <v>53205020100000</v>
      </c>
      <c r="C29" s="182" t="s">
        <v>25</v>
      </c>
      <c r="D29" s="263">
        <f t="shared" si="6"/>
        <v>4919504</v>
      </c>
      <c r="E29" s="198">
        <v>0</v>
      </c>
      <c r="F29" s="534">
        <v>0</v>
      </c>
      <c r="G29" s="198">
        <f t="shared" si="2"/>
        <v>0</v>
      </c>
      <c r="H29" s="192">
        <f t="shared" si="3"/>
        <v>4919504</v>
      </c>
      <c r="I29" s="409"/>
      <c r="M29" s="532" t="s">
        <v>179</v>
      </c>
      <c r="N29" s="408">
        <v>630000</v>
      </c>
      <c r="O29" s="407">
        <f t="shared" si="0"/>
        <v>504000</v>
      </c>
      <c r="P29" s="407">
        <f t="shared" si="1"/>
        <v>126000</v>
      </c>
    </row>
    <row r="30" spans="1:16" x14ac:dyDescent="0.2">
      <c r="A30" s="793"/>
      <c r="B30" s="456">
        <v>53205030100000</v>
      </c>
      <c r="C30" s="182" t="s">
        <v>26</v>
      </c>
      <c r="D30" s="263">
        <f t="shared" si="6"/>
        <v>14168327.200000001</v>
      </c>
      <c r="E30" s="198">
        <v>0</v>
      </c>
      <c r="F30" s="534">
        <v>0</v>
      </c>
      <c r="G30" s="198">
        <f t="shared" si="2"/>
        <v>0</v>
      </c>
      <c r="H30" s="192">
        <f t="shared" si="3"/>
        <v>14168327.200000001</v>
      </c>
      <c r="I30" s="409"/>
      <c r="M30" s="533" t="s">
        <v>180</v>
      </c>
      <c r="N30" s="406">
        <v>0</v>
      </c>
      <c r="O30" s="407">
        <f t="shared" si="0"/>
        <v>0</v>
      </c>
      <c r="P30" s="407">
        <f t="shared" si="1"/>
        <v>0</v>
      </c>
    </row>
    <row r="31" spans="1:16" x14ac:dyDescent="0.2">
      <c r="A31" s="793"/>
      <c r="B31" s="456">
        <v>53205050100000</v>
      </c>
      <c r="C31" s="182" t="s">
        <v>27</v>
      </c>
      <c r="D31" s="263">
        <f t="shared" si="6"/>
        <v>0</v>
      </c>
      <c r="E31" s="198">
        <v>0</v>
      </c>
      <c r="F31" s="534">
        <v>0</v>
      </c>
      <c r="G31" s="198">
        <f t="shared" si="2"/>
        <v>0</v>
      </c>
      <c r="H31" s="192">
        <f t="shared" si="3"/>
        <v>0</v>
      </c>
      <c r="I31" s="409"/>
      <c r="M31" s="535" t="s">
        <v>34</v>
      </c>
      <c r="N31" s="536"/>
      <c r="O31" s="536"/>
      <c r="P31" s="536"/>
    </row>
    <row r="32" spans="1:16" x14ac:dyDescent="0.2">
      <c r="A32" s="793"/>
      <c r="B32" s="456">
        <v>53205070100000</v>
      </c>
      <c r="C32" s="182" t="s">
        <v>29</v>
      </c>
      <c r="D32" s="263">
        <f t="shared" si="6"/>
        <v>268800</v>
      </c>
      <c r="E32" s="198">
        <v>0</v>
      </c>
      <c r="F32" s="534">
        <v>0</v>
      </c>
      <c r="G32" s="198">
        <f t="shared" si="2"/>
        <v>0</v>
      </c>
      <c r="H32" s="192">
        <f t="shared" si="3"/>
        <v>268800</v>
      </c>
      <c r="I32" s="409"/>
      <c r="M32" s="537" t="s">
        <v>35</v>
      </c>
      <c r="N32" s="538"/>
      <c r="O32" s="538"/>
      <c r="P32" s="538"/>
    </row>
    <row r="33" spans="1:16" x14ac:dyDescent="0.2">
      <c r="A33" s="793"/>
      <c r="B33" s="456">
        <v>53208010100000</v>
      </c>
      <c r="C33" s="182" t="s">
        <v>30</v>
      </c>
      <c r="D33" s="263">
        <f t="shared" si="6"/>
        <v>240000</v>
      </c>
      <c r="E33" s="198">
        <v>0</v>
      </c>
      <c r="F33" s="534">
        <v>0</v>
      </c>
      <c r="G33" s="198">
        <f t="shared" si="2"/>
        <v>0</v>
      </c>
      <c r="H33" s="192">
        <f t="shared" si="3"/>
        <v>240000</v>
      </c>
      <c r="I33" s="409"/>
      <c r="M33" s="533" t="s">
        <v>41</v>
      </c>
      <c r="N33" s="408">
        <v>500000</v>
      </c>
      <c r="O33" s="407">
        <f t="shared" si="0"/>
        <v>400000</v>
      </c>
      <c r="P33" s="407">
        <f t="shared" si="1"/>
        <v>100000</v>
      </c>
    </row>
    <row r="34" spans="1:16" x14ac:dyDescent="0.2">
      <c r="A34" s="793"/>
      <c r="B34" s="456">
        <v>53208070100001</v>
      </c>
      <c r="C34" s="182" t="s">
        <v>31</v>
      </c>
      <c r="D34" s="263">
        <f t="shared" si="6"/>
        <v>240000</v>
      </c>
      <c r="E34" s="198">
        <v>0</v>
      </c>
      <c r="F34" s="534">
        <v>0</v>
      </c>
      <c r="G34" s="198">
        <f t="shared" si="2"/>
        <v>0</v>
      </c>
      <c r="H34" s="192">
        <f t="shared" si="3"/>
        <v>240000</v>
      </c>
      <c r="I34" s="409"/>
      <c r="M34" s="532" t="s">
        <v>183</v>
      </c>
      <c r="N34" s="408">
        <v>200000</v>
      </c>
      <c r="O34" s="407">
        <f t="shared" si="0"/>
        <v>160000</v>
      </c>
      <c r="P34" s="407">
        <f t="shared" si="1"/>
        <v>40000</v>
      </c>
    </row>
    <row r="35" spans="1:16" x14ac:dyDescent="0.2">
      <c r="A35" s="793"/>
      <c r="B35" s="456">
        <v>53208100100001</v>
      </c>
      <c r="C35" s="182" t="s">
        <v>178</v>
      </c>
      <c r="D35" s="263">
        <f t="shared" si="6"/>
        <v>0</v>
      </c>
      <c r="E35" s="198">
        <v>0</v>
      </c>
      <c r="F35" s="534">
        <v>0</v>
      </c>
      <c r="G35" s="198">
        <f t="shared" si="2"/>
        <v>0</v>
      </c>
      <c r="H35" s="192">
        <f t="shared" si="3"/>
        <v>0</v>
      </c>
      <c r="I35" s="409"/>
      <c r="M35" s="537" t="s">
        <v>42</v>
      </c>
      <c r="N35" s="538"/>
      <c r="O35" s="538"/>
      <c r="P35" s="538"/>
    </row>
    <row r="36" spans="1:16" x14ac:dyDescent="0.2">
      <c r="A36" s="793"/>
      <c r="B36" s="456">
        <v>53211030000000</v>
      </c>
      <c r="C36" s="182" t="s">
        <v>32</v>
      </c>
      <c r="D36" s="263">
        <f t="shared" si="6"/>
        <v>0</v>
      </c>
      <c r="E36" s="198">
        <v>0</v>
      </c>
      <c r="F36" s="534">
        <v>0</v>
      </c>
      <c r="G36" s="198">
        <f t="shared" si="2"/>
        <v>0</v>
      </c>
      <c r="H36" s="192">
        <f t="shared" si="3"/>
        <v>0</v>
      </c>
      <c r="I36" s="409"/>
      <c r="M36" s="533" t="s">
        <v>44</v>
      </c>
      <c r="N36" s="408">
        <v>0</v>
      </c>
      <c r="O36" s="407">
        <f t="shared" si="0"/>
        <v>0</v>
      </c>
      <c r="P36" s="407">
        <f t="shared" si="1"/>
        <v>0</v>
      </c>
    </row>
    <row r="37" spans="1:16" x14ac:dyDescent="0.2">
      <c r="A37" s="793"/>
      <c r="B37" s="456">
        <v>53212020100000</v>
      </c>
      <c r="C37" s="182" t="s">
        <v>179</v>
      </c>
      <c r="D37" s="263">
        <f t="shared" si="6"/>
        <v>504000</v>
      </c>
      <c r="E37" s="198">
        <v>0</v>
      </c>
      <c r="F37" s="534">
        <v>0</v>
      </c>
      <c r="G37" s="198">
        <f t="shared" si="2"/>
        <v>0</v>
      </c>
      <c r="H37" s="192">
        <f t="shared" si="3"/>
        <v>504000</v>
      </c>
      <c r="I37" s="409"/>
      <c r="M37" s="537" t="s">
        <v>45</v>
      </c>
      <c r="N37" s="537"/>
      <c r="O37" s="539"/>
      <c r="P37" s="539"/>
    </row>
    <row r="38" spans="1:16" x14ac:dyDescent="0.2">
      <c r="A38" s="793"/>
      <c r="B38" s="456">
        <v>53214020000000</v>
      </c>
      <c r="C38" s="182" t="s">
        <v>180</v>
      </c>
      <c r="D38" s="263">
        <f t="shared" si="6"/>
        <v>0</v>
      </c>
      <c r="E38" s="198">
        <v>0</v>
      </c>
      <c r="F38" s="534">
        <v>0</v>
      </c>
      <c r="G38" s="198">
        <f t="shared" si="2"/>
        <v>0</v>
      </c>
      <c r="H38" s="192">
        <f t="shared" si="3"/>
        <v>0</v>
      </c>
      <c r="I38" s="409"/>
      <c r="M38" s="533" t="s">
        <v>47</v>
      </c>
      <c r="N38" s="408">
        <v>756000</v>
      </c>
      <c r="O38" s="407">
        <f t="shared" si="0"/>
        <v>604800</v>
      </c>
      <c r="P38" s="407">
        <f t="shared" si="1"/>
        <v>151200</v>
      </c>
    </row>
    <row r="39" spans="1:16" x14ac:dyDescent="0.2">
      <c r="A39" s="793"/>
      <c r="B39" s="454"/>
      <c r="C39" s="190" t="s">
        <v>34</v>
      </c>
      <c r="D39" s="199">
        <v>0</v>
      </c>
      <c r="E39" s="200"/>
      <c r="F39" s="200"/>
      <c r="G39" s="199">
        <f>SUM(G40,G45,G47,G56,G65,G73)</f>
        <v>810000</v>
      </c>
      <c r="H39" s="194">
        <f>SUM(H40,H45,H47,H56,H65,H73)</f>
        <v>7282100</v>
      </c>
      <c r="I39" s="409"/>
      <c r="M39" s="533" t="s">
        <v>212</v>
      </c>
      <c r="N39" s="408">
        <v>60000</v>
      </c>
      <c r="O39" s="407">
        <f t="shared" si="0"/>
        <v>48000</v>
      </c>
      <c r="P39" s="407">
        <f t="shared" si="1"/>
        <v>12000</v>
      </c>
    </row>
    <row r="40" spans="1:16" x14ac:dyDescent="0.2">
      <c r="A40" s="793"/>
      <c r="B40" s="455"/>
      <c r="C40" s="186" t="s">
        <v>35</v>
      </c>
      <c r="D40" s="188">
        <f>SUM(D41:D44)</f>
        <v>830000</v>
      </c>
      <c r="E40" s="189"/>
      <c r="F40" s="189"/>
      <c r="G40" s="201">
        <f>SUM(G41:G44)</f>
        <v>270000</v>
      </c>
      <c r="H40" s="195">
        <f>SUM(H41:H44)</f>
        <v>1100000</v>
      </c>
      <c r="I40" s="409"/>
      <c r="M40" s="533" t="s">
        <v>49</v>
      </c>
      <c r="N40" s="408">
        <v>0</v>
      </c>
      <c r="O40" s="407">
        <f>N40*0.8</f>
        <v>0</v>
      </c>
      <c r="P40" s="407">
        <f>N40*0.2</f>
        <v>0</v>
      </c>
    </row>
    <row r="41" spans="1:16" x14ac:dyDescent="0.2">
      <c r="A41" s="793"/>
      <c r="B41" s="456">
        <v>53202020100000</v>
      </c>
      <c r="C41" s="182" t="s">
        <v>181</v>
      </c>
      <c r="D41" s="183">
        <v>270000</v>
      </c>
      <c r="E41" s="185">
        <v>27000</v>
      </c>
      <c r="F41" s="184">
        <v>10</v>
      </c>
      <c r="G41" s="198">
        <f>E41*F41</f>
        <v>270000</v>
      </c>
      <c r="H41" s="192">
        <f t="shared" ref="H41:H74" si="7">D41+G41</f>
        <v>540000</v>
      </c>
      <c r="I41" s="409"/>
      <c r="M41" s="533" t="s">
        <v>50</v>
      </c>
      <c r="N41" s="408">
        <v>1512000</v>
      </c>
      <c r="O41" s="407">
        <f>N41*0.8</f>
        <v>1209600</v>
      </c>
      <c r="P41" s="407">
        <f>N41*0.2</f>
        <v>302400</v>
      </c>
    </row>
    <row r="42" spans="1:16" x14ac:dyDescent="0.2">
      <c r="A42" s="793"/>
      <c r="B42" s="456">
        <v>53202030000000</v>
      </c>
      <c r="C42" s="182" t="s">
        <v>182</v>
      </c>
      <c r="D42" s="183">
        <v>0</v>
      </c>
      <c r="E42" s="185">
        <v>0</v>
      </c>
      <c r="F42" s="184">
        <v>0</v>
      </c>
      <c r="G42" s="198">
        <f t="shared" ref="G42:G74" si="8">E42*F42</f>
        <v>0</v>
      </c>
      <c r="H42" s="192">
        <f t="shared" si="7"/>
        <v>0</v>
      </c>
      <c r="I42" s="409"/>
      <c r="M42" s="533" t="s">
        <v>51</v>
      </c>
      <c r="N42" s="408">
        <v>0</v>
      </c>
      <c r="O42" s="407">
        <f t="shared" si="0"/>
        <v>0</v>
      </c>
      <c r="P42" s="407">
        <f t="shared" si="1"/>
        <v>0</v>
      </c>
    </row>
    <row r="43" spans="1:16" x14ac:dyDescent="0.2">
      <c r="A43" s="793"/>
      <c r="B43" s="456">
        <v>53211020000000</v>
      </c>
      <c r="C43" s="182" t="s">
        <v>41</v>
      </c>
      <c r="D43" s="263">
        <f>+O33</f>
        <v>400000</v>
      </c>
      <c r="E43" s="198">
        <v>0</v>
      </c>
      <c r="F43" s="534">
        <v>0</v>
      </c>
      <c r="G43" s="198">
        <f t="shared" si="8"/>
        <v>0</v>
      </c>
      <c r="H43" s="192">
        <f t="shared" si="7"/>
        <v>400000</v>
      </c>
      <c r="I43" s="409"/>
      <c r="M43" s="533" t="s">
        <v>52</v>
      </c>
      <c r="N43" s="406">
        <v>0</v>
      </c>
      <c r="O43" s="407">
        <f t="shared" ref="O43" si="9">N43*0.8</f>
        <v>0</v>
      </c>
      <c r="P43" s="407">
        <f t="shared" ref="P43" si="10">N43*0.2</f>
        <v>0</v>
      </c>
    </row>
    <row r="44" spans="1:16" x14ac:dyDescent="0.2">
      <c r="A44" s="793"/>
      <c r="B44" s="456">
        <v>53101040600000</v>
      </c>
      <c r="C44" s="182" t="s">
        <v>183</v>
      </c>
      <c r="D44" s="263">
        <f>+O34</f>
        <v>160000</v>
      </c>
      <c r="E44" s="198">
        <v>0</v>
      </c>
      <c r="F44" s="534">
        <v>0</v>
      </c>
      <c r="G44" s="198">
        <f t="shared" si="8"/>
        <v>0</v>
      </c>
      <c r="H44" s="192">
        <f t="shared" si="7"/>
        <v>160000</v>
      </c>
      <c r="I44" s="409"/>
      <c r="M44" s="532" t="s">
        <v>184</v>
      </c>
      <c r="N44" s="406">
        <v>0</v>
      </c>
      <c r="O44" s="407">
        <f t="shared" si="0"/>
        <v>0</v>
      </c>
      <c r="P44" s="407">
        <f t="shared" si="1"/>
        <v>0</v>
      </c>
    </row>
    <row r="45" spans="1:16" x14ac:dyDescent="0.2">
      <c r="A45" s="793"/>
      <c r="B45" s="455"/>
      <c r="C45" s="186" t="s">
        <v>42</v>
      </c>
      <c r="D45" s="188">
        <f>SUM(D46:D46)</f>
        <v>0</v>
      </c>
      <c r="E45" s="189"/>
      <c r="F45" s="189"/>
      <c r="G45" s="201">
        <f>SUM(G46:G46)</f>
        <v>0</v>
      </c>
      <c r="H45" s="195">
        <f>SUM(H46:H46)</f>
        <v>0</v>
      </c>
      <c r="I45" s="409"/>
      <c r="M45" s="533" t="s">
        <v>176</v>
      </c>
      <c r="N45" s="408">
        <v>80000</v>
      </c>
      <c r="O45" s="407">
        <f t="shared" si="0"/>
        <v>64000</v>
      </c>
      <c r="P45" s="407">
        <f t="shared" si="1"/>
        <v>16000</v>
      </c>
    </row>
    <row r="46" spans="1:16" x14ac:dyDescent="0.2">
      <c r="A46" s="793"/>
      <c r="B46" s="458">
        <v>53205990000000</v>
      </c>
      <c r="C46" s="182" t="s">
        <v>44</v>
      </c>
      <c r="D46" s="263">
        <f>+O36</f>
        <v>0</v>
      </c>
      <c r="E46" s="198">
        <v>0</v>
      </c>
      <c r="F46" s="534">
        <v>0</v>
      </c>
      <c r="G46" s="198">
        <f t="shared" si="8"/>
        <v>0</v>
      </c>
      <c r="H46" s="192">
        <f t="shared" si="7"/>
        <v>0</v>
      </c>
      <c r="I46" s="409"/>
      <c r="M46" s="537" t="s">
        <v>55</v>
      </c>
      <c r="N46" s="537"/>
      <c r="O46" s="539"/>
      <c r="P46" s="539"/>
    </row>
    <row r="47" spans="1:16" x14ac:dyDescent="0.2">
      <c r="A47" s="793"/>
      <c r="B47" s="455"/>
      <c r="C47" s="186" t="s">
        <v>45</v>
      </c>
      <c r="D47" s="188">
        <f>SUM(D48:D55)</f>
        <v>1926400</v>
      </c>
      <c r="E47" s="189"/>
      <c r="F47" s="189"/>
      <c r="G47" s="188">
        <f>SUM(G48:G55)</f>
        <v>0</v>
      </c>
      <c r="H47" s="193">
        <f>SUM(H48:H55)</f>
        <v>1926400</v>
      </c>
      <c r="I47" s="409"/>
      <c r="M47" s="533" t="s">
        <v>56</v>
      </c>
      <c r="N47" s="408">
        <v>0</v>
      </c>
      <c r="O47" s="407">
        <f t="shared" si="0"/>
        <v>0</v>
      </c>
      <c r="P47" s="407">
        <f t="shared" si="1"/>
        <v>0</v>
      </c>
    </row>
    <row r="48" spans="1:16" x14ac:dyDescent="0.2">
      <c r="A48" s="793"/>
      <c r="B48" s="456">
        <v>53204010000000</v>
      </c>
      <c r="C48" s="182" t="s">
        <v>47</v>
      </c>
      <c r="D48" s="263">
        <f>+O38</f>
        <v>604800</v>
      </c>
      <c r="E48" s="263">
        <v>0</v>
      </c>
      <c r="F48" s="534">
        <v>0</v>
      </c>
      <c r="G48" s="198">
        <f t="shared" si="8"/>
        <v>0</v>
      </c>
      <c r="H48" s="192">
        <f t="shared" si="7"/>
        <v>604800</v>
      </c>
      <c r="I48" s="409"/>
      <c r="M48" s="533" t="s">
        <v>57</v>
      </c>
      <c r="N48" s="408">
        <v>0</v>
      </c>
      <c r="O48" s="407">
        <f t="shared" si="0"/>
        <v>0</v>
      </c>
      <c r="P48" s="407">
        <f t="shared" si="1"/>
        <v>0</v>
      </c>
    </row>
    <row r="49" spans="1:16" x14ac:dyDescent="0.2">
      <c r="A49" s="793"/>
      <c r="B49" s="458">
        <v>53204040200000</v>
      </c>
      <c r="C49" s="182" t="s">
        <v>212</v>
      </c>
      <c r="D49" s="263">
        <f t="shared" ref="D49:D55" si="11">+O39</f>
        <v>48000</v>
      </c>
      <c r="E49" s="263">
        <v>0</v>
      </c>
      <c r="F49" s="534">
        <v>0</v>
      </c>
      <c r="G49" s="198">
        <f t="shared" si="8"/>
        <v>0</v>
      </c>
      <c r="H49" s="192">
        <f t="shared" si="7"/>
        <v>48000</v>
      </c>
      <c r="I49" s="409"/>
      <c r="M49" s="533" t="s">
        <v>167</v>
      </c>
      <c r="N49" s="408">
        <v>0</v>
      </c>
      <c r="O49" s="407">
        <f t="shared" si="0"/>
        <v>0</v>
      </c>
      <c r="P49" s="407">
        <f t="shared" si="1"/>
        <v>0</v>
      </c>
    </row>
    <row r="50" spans="1:16" x14ac:dyDescent="0.2">
      <c r="A50" s="793"/>
      <c r="B50" s="456">
        <v>53204060000000</v>
      </c>
      <c r="C50" s="182" t="s">
        <v>49</v>
      </c>
      <c r="D50" s="263">
        <f t="shared" si="11"/>
        <v>0</v>
      </c>
      <c r="E50" s="263">
        <v>0</v>
      </c>
      <c r="F50" s="534">
        <v>0</v>
      </c>
      <c r="G50" s="198">
        <f t="shared" si="8"/>
        <v>0</v>
      </c>
      <c r="H50" s="192">
        <f t="shared" si="7"/>
        <v>0</v>
      </c>
      <c r="I50" s="409"/>
      <c r="M50" s="533" t="s">
        <v>185</v>
      </c>
      <c r="N50" s="408">
        <v>150000</v>
      </c>
      <c r="O50" s="407">
        <f t="shared" si="0"/>
        <v>120000</v>
      </c>
      <c r="P50" s="407">
        <f t="shared" si="1"/>
        <v>30000</v>
      </c>
    </row>
    <row r="51" spans="1:16" x14ac:dyDescent="0.2">
      <c r="A51" s="793"/>
      <c r="B51" s="456">
        <v>53204070000000</v>
      </c>
      <c r="C51" s="182" t="s">
        <v>50</v>
      </c>
      <c r="D51" s="263">
        <f t="shared" si="11"/>
        <v>1209600</v>
      </c>
      <c r="E51" s="263">
        <v>0</v>
      </c>
      <c r="F51" s="534">
        <v>0</v>
      </c>
      <c r="G51" s="198">
        <f t="shared" si="8"/>
        <v>0</v>
      </c>
      <c r="H51" s="192">
        <f t="shared" si="7"/>
        <v>1209600</v>
      </c>
      <c r="I51" s="409"/>
      <c r="M51" s="533" t="s">
        <v>188</v>
      </c>
      <c r="N51" s="408">
        <v>0</v>
      </c>
      <c r="O51" s="407">
        <f t="shared" si="0"/>
        <v>0</v>
      </c>
      <c r="P51" s="407">
        <f t="shared" si="1"/>
        <v>0</v>
      </c>
    </row>
    <row r="52" spans="1:16" x14ac:dyDescent="0.2">
      <c r="A52" s="793"/>
      <c r="B52" s="456">
        <v>53204080000000</v>
      </c>
      <c r="C52" s="182" t="s">
        <v>51</v>
      </c>
      <c r="D52" s="263">
        <f t="shared" si="11"/>
        <v>0</v>
      </c>
      <c r="E52" s="263">
        <v>0</v>
      </c>
      <c r="F52" s="534">
        <v>0</v>
      </c>
      <c r="G52" s="198">
        <f t="shared" si="8"/>
        <v>0</v>
      </c>
      <c r="H52" s="192">
        <f t="shared" si="7"/>
        <v>0</v>
      </c>
      <c r="I52" s="409"/>
      <c r="M52" s="533" t="s">
        <v>186</v>
      </c>
      <c r="N52" s="408">
        <v>80000</v>
      </c>
      <c r="O52" s="407">
        <f t="shared" si="0"/>
        <v>64000</v>
      </c>
      <c r="P52" s="407">
        <f t="shared" si="1"/>
        <v>16000</v>
      </c>
    </row>
    <row r="53" spans="1:16" x14ac:dyDescent="0.2">
      <c r="A53" s="793"/>
      <c r="B53" s="456">
        <v>53214010000000</v>
      </c>
      <c r="C53" s="182" t="s">
        <v>52</v>
      </c>
      <c r="D53" s="263">
        <f t="shared" si="11"/>
        <v>0</v>
      </c>
      <c r="E53" s="263">
        <v>0</v>
      </c>
      <c r="F53" s="534">
        <v>0</v>
      </c>
      <c r="G53" s="198">
        <f t="shared" si="8"/>
        <v>0</v>
      </c>
      <c r="H53" s="192">
        <f t="shared" si="7"/>
        <v>0</v>
      </c>
      <c r="I53" s="409"/>
      <c r="M53" s="533" t="s">
        <v>64</v>
      </c>
      <c r="N53" s="408">
        <v>0</v>
      </c>
      <c r="O53" s="407">
        <f t="shared" si="0"/>
        <v>0</v>
      </c>
      <c r="P53" s="407">
        <f t="shared" si="1"/>
        <v>0</v>
      </c>
    </row>
    <row r="54" spans="1:16" x14ac:dyDescent="0.2">
      <c r="A54" s="793"/>
      <c r="B54" s="456">
        <v>53214040000000</v>
      </c>
      <c r="C54" s="182" t="s">
        <v>184</v>
      </c>
      <c r="D54" s="263">
        <f t="shared" si="11"/>
        <v>0</v>
      </c>
      <c r="E54" s="263">
        <v>0</v>
      </c>
      <c r="F54" s="534">
        <v>0</v>
      </c>
      <c r="G54" s="198">
        <f t="shared" si="8"/>
        <v>0</v>
      </c>
      <c r="H54" s="192">
        <f t="shared" si="7"/>
        <v>0</v>
      </c>
      <c r="I54" s="409"/>
      <c r="M54" s="537" t="s">
        <v>65</v>
      </c>
      <c r="N54" s="539"/>
      <c r="O54" s="539"/>
      <c r="P54" s="539"/>
    </row>
    <row r="55" spans="1:16" x14ac:dyDescent="0.2">
      <c r="A55" s="793"/>
      <c r="B55" s="457">
        <v>53204020100000</v>
      </c>
      <c r="C55" s="182" t="s">
        <v>176</v>
      </c>
      <c r="D55" s="263">
        <f t="shared" si="11"/>
        <v>64000</v>
      </c>
      <c r="E55" s="263">
        <v>0</v>
      </c>
      <c r="F55" s="534">
        <v>0</v>
      </c>
      <c r="G55" s="198">
        <f t="shared" si="8"/>
        <v>0</v>
      </c>
      <c r="H55" s="192">
        <f t="shared" si="7"/>
        <v>64000</v>
      </c>
      <c r="I55" s="409"/>
      <c r="M55" s="533" t="s">
        <v>100</v>
      </c>
      <c r="N55" s="408">
        <v>180000</v>
      </c>
      <c r="O55" s="407">
        <f t="shared" si="0"/>
        <v>144000</v>
      </c>
      <c r="P55" s="407">
        <f t="shared" si="1"/>
        <v>36000</v>
      </c>
    </row>
    <row r="56" spans="1:16" x14ac:dyDescent="0.2">
      <c r="A56" s="793"/>
      <c r="B56" s="455"/>
      <c r="C56" s="186" t="s">
        <v>55</v>
      </c>
      <c r="D56" s="188">
        <f>SUM(D57:D64)</f>
        <v>184000</v>
      </c>
      <c r="E56" s="189"/>
      <c r="F56" s="189"/>
      <c r="G56" s="188">
        <f>SUM(G57:G64)</f>
        <v>415000</v>
      </c>
      <c r="H56" s="193">
        <f>SUM(H57:H64)</f>
        <v>599000</v>
      </c>
      <c r="I56" s="409"/>
      <c r="M56" s="533" t="s">
        <v>101</v>
      </c>
      <c r="N56" s="408">
        <v>2100000</v>
      </c>
      <c r="O56" s="407">
        <f t="shared" si="0"/>
        <v>1680000</v>
      </c>
      <c r="P56" s="407">
        <f t="shared" si="1"/>
        <v>420000</v>
      </c>
    </row>
    <row r="57" spans="1:16" x14ac:dyDescent="0.2">
      <c r="A57" s="793"/>
      <c r="B57" s="456">
        <v>53207010000000</v>
      </c>
      <c r="C57" s="182" t="s">
        <v>56</v>
      </c>
      <c r="D57" s="263">
        <f>+O47</f>
        <v>0</v>
      </c>
      <c r="E57" s="263">
        <v>0</v>
      </c>
      <c r="F57" s="534">
        <v>0</v>
      </c>
      <c r="G57" s="198">
        <f t="shared" si="8"/>
        <v>0</v>
      </c>
      <c r="H57" s="192">
        <f t="shared" si="7"/>
        <v>0</v>
      </c>
      <c r="I57" s="409"/>
      <c r="M57" s="533" t="s">
        <v>189</v>
      </c>
      <c r="N57" s="408">
        <v>0</v>
      </c>
      <c r="O57" s="407">
        <f t="shared" si="0"/>
        <v>0</v>
      </c>
      <c r="P57" s="407">
        <f t="shared" si="1"/>
        <v>0</v>
      </c>
    </row>
    <row r="58" spans="1:16" x14ac:dyDescent="0.2">
      <c r="A58" s="793"/>
      <c r="B58" s="456">
        <v>53207020000000</v>
      </c>
      <c r="C58" s="182" t="s">
        <v>57</v>
      </c>
      <c r="D58" s="263">
        <f t="shared" ref="D58:D60" si="12">+O48</f>
        <v>0</v>
      </c>
      <c r="E58" s="263">
        <v>0</v>
      </c>
      <c r="F58" s="534">
        <v>0</v>
      </c>
      <c r="G58" s="198">
        <f t="shared" si="8"/>
        <v>0</v>
      </c>
      <c r="H58" s="192">
        <f t="shared" si="7"/>
        <v>0</v>
      </c>
      <c r="I58" s="409"/>
      <c r="M58" s="533" t="s">
        <v>103</v>
      </c>
      <c r="N58" s="408">
        <v>0</v>
      </c>
      <c r="O58" s="407">
        <f t="shared" si="0"/>
        <v>0</v>
      </c>
      <c r="P58" s="407">
        <f t="shared" si="1"/>
        <v>0</v>
      </c>
    </row>
    <row r="59" spans="1:16" x14ac:dyDescent="0.2">
      <c r="A59" s="793"/>
      <c r="B59" s="456">
        <v>53208020000000</v>
      </c>
      <c r="C59" s="182" t="s">
        <v>167</v>
      </c>
      <c r="D59" s="263">
        <f t="shared" si="12"/>
        <v>0</v>
      </c>
      <c r="E59" s="263">
        <v>0</v>
      </c>
      <c r="F59" s="534">
        <v>0</v>
      </c>
      <c r="G59" s="198">
        <f t="shared" si="8"/>
        <v>0</v>
      </c>
      <c r="H59" s="192">
        <f t="shared" si="7"/>
        <v>0</v>
      </c>
      <c r="I59" s="409"/>
      <c r="M59" s="532" t="s">
        <v>190</v>
      </c>
      <c r="N59" s="408">
        <v>180000</v>
      </c>
      <c r="O59" s="407">
        <f t="shared" si="0"/>
        <v>144000</v>
      </c>
      <c r="P59" s="407">
        <f t="shared" si="1"/>
        <v>36000</v>
      </c>
    </row>
    <row r="60" spans="1:16" x14ac:dyDescent="0.2">
      <c r="A60" s="793"/>
      <c r="B60" s="456">
        <v>53208990000000</v>
      </c>
      <c r="C60" s="182" t="s">
        <v>185</v>
      </c>
      <c r="D60" s="263">
        <f t="shared" si="12"/>
        <v>120000</v>
      </c>
      <c r="E60" s="263">
        <v>0</v>
      </c>
      <c r="F60" s="534">
        <v>0</v>
      </c>
      <c r="G60" s="198">
        <f t="shared" si="8"/>
        <v>0</v>
      </c>
      <c r="H60" s="192">
        <f t="shared" si="7"/>
        <v>120000</v>
      </c>
      <c r="I60" s="409"/>
      <c r="M60" s="533" t="s">
        <v>105</v>
      </c>
      <c r="N60" s="408">
        <v>189000</v>
      </c>
      <c r="O60" s="407">
        <f t="shared" si="0"/>
        <v>151200</v>
      </c>
      <c r="P60" s="407">
        <f t="shared" si="1"/>
        <v>37800</v>
      </c>
    </row>
    <row r="61" spans="1:16" x14ac:dyDescent="0.2">
      <c r="A61" s="793"/>
      <c r="B61" s="457">
        <v>53210020300000</v>
      </c>
      <c r="C61" s="182" t="s">
        <v>187</v>
      </c>
      <c r="D61" s="263">
        <v>0</v>
      </c>
      <c r="E61" s="660">
        <v>8300</v>
      </c>
      <c r="F61" s="534">
        <f>+'B) Reajuste Tarifas y Ocupación'!I30</f>
        <v>50</v>
      </c>
      <c r="G61" s="198">
        <f t="shared" si="8"/>
        <v>415000</v>
      </c>
      <c r="H61" s="192">
        <f t="shared" si="7"/>
        <v>415000</v>
      </c>
      <c r="I61" s="409"/>
      <c r="M61" s="533" t="s">
        <v>211</v>
      </c>
      <c r="N61" s="408">
        <v>150000</v>
      </c>
      <c r="O61" s="407">
        <f t="shared" si="0"/>
        <v>120000</v>
      </c>
      <c r="P61" s="407">
        <f t="shared" si="1"/>
        <v>30000</v>
      </c>
    </row>
    <row r="62" spans="1:16" x14ac:dyDescent="0.2">
      <c r="A62" s="793"/>
      <c r="B62" s="456">
        <v>53208990000000</v>
      </c>
      <c r="C62" s="182" t="s">
        <v>188</v>
      </c>
      <c r="D62" s="263">
        <f>+O51</f>
        <v>0</v>
      </c>
      <c r="E62" s="263">
        <v>0</v>
      </c>
      <c r="F62" s="534">
        <v>0</v>
      </c>
      <c r="G62" s="198">
        <f t="shared" si="8"/>
        <v>0</v>
      </c>
      <c r="H62" s="192">
        <f t="shared" si="7"/>
        <v>0</v>
      </c>
      <c r="I62" s="409"/>
    </row>
    <row r="63" spans="1:16" x14ac:dyDescent="0.2">
      <c r="A63" s="793"/>
      <c r="B63" s="456">
        <v>53209990000000</v>
      </c>
      <c r="C63" s="182" t="s">
        <v>186</v>
      </c>
      <c r="D63" s="263">
        <f t="shared" ref="D63" si="13">+O52</f>
        <v>64000</v>
      </c>
      <c r="E63" s="263">
        <v>0</v>
      </c>
      <c r="F63" s="534">
        <v>0</v>
      </c>
      <c r="G63" s="198">
        <f t="shared" si="8"/>
        <v>0</v>
      </c>
      <c r="H63" s="192">
        <f t="shared" si="7"/>
        <v>64000</v>
      </c>
      <c r="I63" s="409"/>
    </row>
    <row r="64" spans="1:16" x14ac:dyDescent="0.2">
      <c r="A64" s="793"/>
      <c r="B64" s="456">
        <v>53210020100000</v>
      </c>
      <c r="C64" s="182" t="s">
        <v>64</v>
      </c>
      <c r="D64" s="263">
        <f>+O53</f>
        <v>0</v>
      </c>
      <c r="E64" s="263">
        <v>0</v>
      </c>
      <c r="F64" s="534">
        <v>0</v>
      </c>
      <c r="G64" s="198">
        <f t="shared" si="8"/>
        <v>0</v>
      </c>
      <c r="H64" s="192">
        <f t="shared" si="7"/>
        <v>0</v>
      </c>
      <c r="I64" s="409"/>
    </row>
    <row r="65" spans="1:11" x14ac:dyDescent="0.2">
      <c r="A65" s="793"/>
      <c r="B65" s="455"/>
      <c r="C65" s="186" t="s">
        <v>65</v>
      </c>
      <c r="D65" s="188">
        <f>SUM(D66:D72)</f>
        <v>2239200</v>
      </c>
      <c r="E65" s="189"/>
      <c r="F65" s="189"/>
      <c r="G65" s="188">
        <f>SUM(G66:G72)</f>
        <v>0</v>
      </c>
      <c r="H65" s="193">
        <f>SUM(H66:H72)</f>
        <v>2239200</v>
      </c>
      <c r="I65" s="409"/>
    </row>
    <row r="66" spans="1:11" x14ac:dyDescent="0.2">
      <c r="A66" s="793"/>
      <c r="B66" s="456">
        <v>53206030000000</v>
      </c>
      <c r="C66" s="182" t="s">
        <v>100</v>
      </c>
      <c r="D66" s="263">
        <f>+O55</f>
        <v>144000</v>
      </c>
      <c r="E66" s="263">
        <v>0</v>
      </c>
      <c r="F66" s="534">
        <v>0</v>
      </c>
      <c r="G66" s="198">
        <f t="shared" si="8"/>
        <v>0</v>
      </c>
      <c r="H66" s="192">
        <f t="shared" si="7"/>
        <v>144000</v>
      </c>
      <c r="I66" s="409"/>
    </row>
    <row r="67" spans="1:11" x14ac:dyDescent="0.2">
      <c r="A67" s="793"/>
      <c r="B67" s="456">
        <v>53206040000000</v>
      </c>
      <c r="C67" s="182" t="s">
        <v>101</v>
      </c>
      <c r="D67" s="263">
        <f t="shared" ref="D67:D72" si="14">+O56</f>
        <v>1680000</v>
      </c>
      <c r="E67" s="263">
        <v>0</v>
      </c>
      <c r="F67" s="534">
        <v>0</v>
      </c>
      <c r="G67" s="198">
        <f t="shared" si="8"/>
        <v>0</v>
      </c>
      <c r="H67" s="192">
        <f t="shared" si="7"/>
        <v>1680000</v>
      </c>
      <c r="I67" s="409"/>
    </row>
    <row r="68" spans="1:11" x14ac:dyDescent="0.2">
      <c r="A68" s="793"/>
      <c r="B68" s="456">
        <v>53206060000000</v>
      </c>
      <c r="C68" s="182" t="s">
        <v>189</v>
      </c>
      <c r="D68" s="263">
        <f t="shared" si="14"/>
        <v>0</v>
      </c>
      <c r="E68" s="263">
        <v>0</v>
      </c>
      <c r="F68" s="534">
        <v>0</v>
      </c>
      <c r="G68" s="198">
        <f t="shared" si="8"/>
        <v>0</v>
      </c>
      <c r="H68" s="192">
        <f t="shared" si="7"/>
        <v>0</v>
      </c>
      <c r="I68" s="409"/>
    </row>
    <row r="69" spans="1:11" x14ac:dyDescent="0.2">
      <c r="A69" s="793"/>
      <c r="B69" s="456">
        <v>53206070000000</v>
      </c>
      <c r="C69" s="182" t="s">
        <v>103</v>
      </c>
      <c r="D69" s="263">
        <f t="shared" si="14"/>
        <v>0</v>
      </c>
      <c r="E69" s="263">
        <v>0</v>
      </c>
      <c r="F69" s="534">
        <v>0</v>
      </c>
      <c r="G69" s="198">
        <f t="shared" si="8"/>
        <v>0</v>
      </c>
      <c r="H69" s="192">
        <f t="shared" si="7"/>
        <v>0</v>
      </c>
      <c r="I69" s="409"/>
    </row>
    <row r="70" spans="1:11" x14ac:dyDescent="0.2">
      <c r="A70" s="793"/>
      <c r="B70" s="456">
        <v>53206990000000</v>
      </c>
      <c r="C70" s="182" t="s">
        <v>190</v>
      </c>
      <c r="D70" s="263">
        <f t="shared" si="14"/>
        <v>144000</v>
      </c>
      <c r="E70" s="263">
        <v>0</v>
      </c>
      <c r="F70" s="534">
        <v>0</v>
      </c>
      <c r="G70" s="198">
        <f t="shared" si="8"/>
        <v>0</v>
      </c>
      <c r="H70" s="192">
        <f t="shared" si="7"/>
        <v>144000</v>
      </c>
      <c r="I70" s="409"/>
    </row>
    <row r="71" spans="1:11" x14ac:dyDescent="0.2">
      <c r="A71" s="793"/>
      <c r="B71" s="456">
        <v>53208030000000</v>
      </c>
      <c r="C71" s="182" t="s">
        <v>105</v>
      </c>
      <c r="D71" s="263">
        <f t="shared" si="14"/>
        <v>151200</v>
      </c>
      <c r="E71" s="263">
        <v>0</v>
      </c>
      <c r="F71" s="534">
        <v>0</v>
      </c>
      <c r="G71" s="198">
        <f t="shared" si="8"/>
        <v>0</v>
      </c>
      <c r="H71" s="192">
        <f t="shared" si="7"/>
        <v>151200</v>
      </c>
      <c r="I71" s="409"/>
    </row>
    <row r="72" spans="1:11" x14ac:dyDescent="0.2">
      <c r="A72" s="793"/>
      <c r="B72" s="456">
        <v>53206990000000</v>
      </c>
      <c r="C72" s="182" t="s">
        <v>211</v>
      </c>
      <c r="D72" s="263">
        <f t="shared" si="14"/>
        <v>120000</v>
      </c>
      <c r="E72" s="263">
        <v>0</v>
      </c>
      <c r="F72" s="534">
        <v>0</v>
      </c>
      <c r="G72" s="198">
        <f t="shared" si="8"/>
        <v>0</v>
      </c>
      <c r="H72" s="192">
        <f t="shared" si="7"/>
        <v>120000</v>
      </c>
      <c r="I72" s="409"/>
    </row>
    <row r="73" spans="1:11" x14ac:dyDescent="0.2">
      <c r="A73" s="793"/>
      <c r="B73" s="455"/>
      <c r="C73" s="186" t="s">
        <v>66</v>
      </c>
      <c r="D73" s="188">
        <f>SUM(D74:D74)</f>
        <v>1292500</v>
      </c>
      <c r="E73" s="189"/>
      <c r="F73" s="189"/>
      <c r="G73" s="188">
        <f>SUM(G74:G74)</f>
        <v>125000</v>
      </c>
      <c r="H73" s="193">
        <f>SUM(H74:H74)</f>
        <v>1417500</v>
      </c>
      <c r="I73" s="409"/>
    </row>
    <row r="74" spans="1:11" x14ac:dyDescent="0.2">
      <c r="A74" s="793"/>
      <c r="B74" s="459"/>
      <c r="C74" s="187" t="s">
        <v>214</v>
      </c>
      <c r="D74" s="183">
        <f>2500*47*11</f>
        <v>1292500</v>
      </c>
      <c r="E74" s="183">
        <v>2500</v>
      </c>
      <c r="F74" s="184">
        <v>50</v>
      </c>
      <c r="G74" s="198">
        <f t="shared" si="8"/>
        <v>125000</v>
      </c>
      <c r="H74" s="196">
        <f t="shared" si="7"/>
        <v>1417500</v>
      </c>
      <c r="I74" s="410"/>
      <c r="J74" s="461" t="s">
        <v>215</v>
      </c>
      <c r="K74" s="335">
        <f>+H72+H71+H70+H69+H68+H67+H66+H64+H63+H62+H61+H60+H59+H58+H57+H55+H52+H51+H50+H49+H48+H46+H44+H43+H37+H36+H35+H33+H32+H31+H30+H29+H28+H27+H26+H25+H24+H23</f>
        <v>35081075.200000003</v>
      </c>
    </row>
    <row r="75" spans="1:11" collapsed="1" x14ac:dyDescent="0.2">
      <c r="A75" s="793"/>
      <c r="B75" s="460"/>
      <c r="C75" s="191" t="s">
        <v>106</v>
      </c>
      <c r="D75" s="202">
        <f>SUM(D12,D39)</f>
        <v>67672150.200000003</v>
      </c>
      <c r="E75" s="203"/>
      <c r="F75" s="203"/>
      <c r="G75" s="202">
        <f>SUM(G12,G39)</f>
        <v>6932640</v>
      </c>
      <c r="H75" s="42">
        <f>SUM(H12,H39)</f>
        <v>81076890.200000003</v>
      </c>
      <c r="I75" s="411"/>
      <c r="J75" s="453" t="s">
        <v>216</v>
      </c>
      <c r="K75" s="540">
        <f>+H75-K74</f>
        <v>45995815</v>
      </c>
    </row>
    <row r="76" spans="1:11" x14ac:dyDescent="0.2">
      <c r="A76" s="794" t="s">
        <v>115</v>
      </c>
      <c r="B76" s="796" t="s">
        <v>76</v>
      </c>
      <c r="C76" s="798" t="s">
        <v>77</v>
      </c>
      <c r="D76" s="800" t="s">
        <v>78</v>
      </c>
      <c r="E76" s="801" t="s">
        <v>79</v>
      </c>
      <c r="F76" s="801"/>
      <c r="G76" s="801"/>
      <c r="H76" s="789" t="s">
        <v>259</v>
      </c>
      <c r="I76" s="791" t="s">
        <v>75</v>
      </c>
    </row>
    <row r="77" spans="1:11" ht="25.5" x14ac:dyDescent="0.2">
      <c r="A77" s="795"/>
      <c r="B77" s="797"/>
      <c r="C77" s="799"/>
      <c r="D77" s="800"/>
      <c r="E77" s="541" t="s">
        <v>67</v>
      </c>
      <c r="F77" s="542" t="s">
        <v>68</v>
      </c>
      <c r="G77" s="543" t="s">
        <v>6</v>
      </c>
      <c r="H77" s="790"/>
      <c r="I77" s="792"/>
    </row>
    <row r="78" spans="1:11" x14ac:dyDescent="0.2">
      <c r="A78" s="793" t="str">
        <f>+'B) Reajuste Tarifas y Ocupación'!A16</f>
        <v>Sala Cuna Mar y Cielo Diurna</v>
      </c>
      <c r="B78" s="454"/>
      <c r="C78" s="535" t="s">
        <v>11</v>
      </c>
      <c r="D78" s="544">
        <f>SUM(D79,D84)</f>
        <v>38831398.799999997</v>
      </c>
      <c r="E78" s="545"/>
      <c r="F78" s="545"/>
      <c r="G78" s="546">
        <f>SUM(G79,G84)</f>
        <v>488280</v>
      </c>
      <c r="H78" s="547">
        <f>SUM(H79,H84)</f>
        <v>39319678.799999997</v>
      </c>
      <c r="I78" s="409"/>
    </row>
    <row r="79" spans="1:11" x14ac:dyDescent="0.2">
      <c r="A79" s="793"/>
      <c r="B79" s="455"/>
      <c r="C79" s="537" t="s">
        <v>12</v>
      </c>
      <c r="D79" s="548">
        <f>SUM(D80:D83)</f>
        <v>25472920</v>
      </c>
      <c r="E79" s="549"/>
      <c r="F79" s="549"/>
      <c r="G79" s="550">
        <f>SUM(G80:G83)</f>
        <v>0</v>
      </c>
      <c r="H79" s="193">
        <f>SUM(H80:H83)</f>
        <v>25472920</v>
      </c>
      <c r="I79" s="409"/>
    </row>
    <row r="80" spans="1:11" x14ac:dyDescent="0.2">
      <c r="A80" s="793"/>
      <c r="B80" s="456">
        <v>53103040100000</v>
      </c>
      <c r="C80" s="533" t="s">
        <v>96</v>
      </c>
      <c r="D80" s="551">
        <f>+'F) Remuneraciones'!L26</f>
        <v>25472920</v>
      </c>
      <c r="E80" s="552">
        <v>0</v>
      </c>
      <c r="F80" s="553">
        <v>0</v>
      </c>
      <c r="G80" s="554">
        <f>E80*F80</f>
        <v>0</v>
      </c>
      <c r="H80" s="555">
        <f>D80+G80</f>
        <v>25472920</v>
      </c>
      <c r="I80" s="409"/>
    </row>
    <row r="81" spans="1:10" x14ac:dyDescent="0.2">
      <c r="A81" s="793"/>
      <c r="B81" s="456">
        <v>53103050000000</v>
      </c>
      <c r="C81" s="533" t="s">
        <v>168</v>
      </c>
      <c r="D81" s="402">
        <v>0</v>
      </c>
      <c r="E81" s="403">
        <v>0</v>
      </c>
      <c r="F81" s="404">
        <v>0</v>
      </c>
      <c r="G81" s="554">
        <f>E81*F81</f>
        <v>0</v>
      </c>
      <c r="H81" s="555">
        <f>D81+G81</f>
        <v>0</v>
      </c>
      <c r="I81" s="409"/>
    </row>
    <row r="82" spans="1:10" x14ac:dyDescent="0.2">
      <c r="A82" s="793"/>
      <c r="B82" s="457">
        <v>53103040400000</v>
      </c>
      <c r="C82" s="211" t="s">
        <v>169</v>
      </c>
      <c r="D82" s="402">
        <v>0</v>
      </c>
      <c r="E82" s="403">
        <v>0</v>
      </c>
      <c r="F82" s="404">
        <v>0</v>
      </c>
      <c r="G82" s="554">
        <f>E82*F82</f>
        <v>0</v>
      </c>
      <c r="H82" s="555">
        <f>D82+G82</f>
        <v>0</v>
      </c>
      <c r="I82" s="409"/>
    </row>
    <row r="83" spans="1:10" x14ac:dyDescent="0.2">
      <c r="A83" s="793"/>
      <c r="B83" s="456">
        <v>53103080010000</v>
      </c>
      <c r="C83" s="533" t="s">
        <v>170</v>
      </c>
      <c r="D83" s="402">
        <v>0</v>
      </c>
      <c r="E83" s="403">
        <v>0</v>
      </c>
      <c r="F83" s="404">
        <v>0</v>
      </c>
      <c r="G83" s="554">
        <f>E83*F83</f>
        <v>0</v>
      </c>
      <c r="H83" s="555">
        <f>D83+G83</f>
        <v>0</v>
      </c>
      <c r="I83" s="409"/>
    </row>
    <row r="84" spans="1:10" x14ac:dyDescent="0.2">
      <c r="A84" s="793"/>
      <c r="B84" s="455"/>
      <c r="C84" s="537" t="s">
        <v>16</v>
      </c>
      <c r="D84" s="548">
        <f>SUM(D85:D104)</f>
        <v>13358478.800000001</v>
      </c>
      <c r="E84" s="549"/>
      <c r="F84" s="549"/>
      <c r="G84" s="548">
        <f>SUM(G85:G104)</f>
        <v>488280</v>
      </c>
      <c r="H84" s="193">
        <f>SUM(H85:H104)</f>
        <v>13846758.800000001</v>
      </c>
      <c r="I84" s="409"/>
      <c r="J84" s="214"/>
    </row>
    <row r="85" spans="1:10" x14ac:dyDescent="0.2">
      <c r="A85" s="793"/>
      <c r="B85" s="456">
        <v>53201010100000</v>
      </c>
      <c r="C85" s="556" t="s">
        <v>171</v>
      </c>
      <c r="D85" s="402">
        <f>52000*5*12</f>
        <v>3120000</v>
      </c>
      <c r="E85" s="403">
        <v>52000</v>
      </c>
      <c r="F85" s="404">
        <v>5</v>
      </c>
      <c r="G85" s="554">
        <f t="shared" ref="G85:G104" si="15">E85*F85</f>
        <v>260000</v>
      </c>
      <c r="H85" s="555">
        <f t="shared" ref="H85:H104" si="16">D85+G85</f>
        <v>3380000</v>
      </c>
      <c r="I85" s="409"/>
    </row>
    <row r="86" spans="1:10" x14ac:dyDescent="0.2">
      <c r="A86" s="793"/>
      <c r="B86" s="456">
        <v>53201010100000</v>
      </c>
      <c r="C86" s="556" t="s">
        <v>172</v>
      </c>
      <c r="D86" s="402">
        <f>17560*13*12</f>
        <v>2739360</v>
      </c>
      <c r="E86" s="403">
        <v>17560</v>
      </c>
      <c r="F86" s="404">
        <v>13</v>
      </c>
      <c r="G86" s="554">
        <f t="shared" si="15"/>
        <v>228280</v>
      </c>
      <c r="H86" s="555">
        <f t="shared" si="16"/>
        <v>2967640</v>
      </c>
      <c r="I86" s="180"/>
    </row>
    <row r="87" spans="1:10" x14ac:dyDescent="0.2">
      <c r="A87" s="793"/>
      <c r="B87" s="456">
        <v>53201010100000</v>
      </c>
      <c r="C87" s="556" t="s">
        <v>173</v>
      </c>
      <c r="D87" s="402">
        <v>0</v>
      </c>
      <c r="E87" s="403">
        <v>0</v>
      </c>
      <c r="F87" s="404">
        <v>0</v>
      </c>
      <c r="G87" s="554">
        <f t="shared" si="15"/>
        <v>0</v>
      </c>
      <c r="H87" s="555">
        <f t="shared" si="16"/>
        <v>0</v>
      </c>
      <c r="I87" s="180"/>
    </row>
    <row r="88" spans="1:10" ht="25.5" x14ac:dyDescent="0.2">
      <c r="A88" s="793"/>
      <c r="B88" s="456">
        <v>53202010100000</v>
      </c>
      <c r="C88" s="532" t="s">
        <v>174</v>
      </c>
      <c r="D88" s="557">
        <f>+P14</f>
        <v>0</v>
      </c>
      <c r="E88" s="554">
        <v>0</v>
      </c>
      <c r="F88" s="558"/>
      <c r="G88" s="554">
        <f t="shared" si="15"/>
        <v>0</v>
      </c>
      <c r="H88" s="555">
        <f t="shared" si="16"/>
        <v>0</v>
      </c>
      <c r="I88" s="412"/>
    </row>
    <row r="89" spans="1:10" x14ac:dyDescent="0.2">
      <c r="A89" s="793"/>
      <c r="B89" s="456">
        <v>53203010100000</v>
      </c>
      <c r="C89" s="533" t="s">
        <v>19</v>
      </c>
      <c r="D89" s="554">
        <f>+P15</f>
        <v>0</v>
      </c>
      <c r="E89" s="554">
        <v>0</v>
      </c>
      <c r="F89" s="558">
        <v>0</v>
      </c>
      <c r="G89" s="554">
        <f t="shared" si="15"/>
        <v>0</v>
      </c>
      <c r="H89" s="555">
        <f t="shared" si="16"/>
        <v>0</v>
      </c>
      <c r="I89" s="412"/>
    </row>
    <row r="90" spans="1:10" x14ac:dyDescent="0.2">
      <c r="A90" s="793"/>
      <c r="B90" s="456">
        <v>53203030000000</v>
      </c>
      <c r="C90" s="533" t="s">
        <v>175</v>
      </c>
      <c r="D90" s="554">
        <f t="shared" ref="D90:D104" si="17">+P16</f>
        <v>0</v>
      </c>
      <c r="E90" s="554">
        <v>0</v>
      </c>
      <c r="F90" s="558">
        <v>0</v>
      </c>
      <c r="G90" s="554">
        <f t="shared" si="15"/>
        <v>0</v>
      </c>
      <c r="H90" s="555">
        <f t="shared" si="16"/>
        <v>0</v>
      </c>
      <c r="I90" s="412"/>
    </row>
    <row r="91" spans="1:10" x14ac:dyDescent="0.2">
      <c r="A91" s="793"/>
      <c r="B91" s="456">
        <v>53204030000000</v>
      </c>
      <c r="C91" s="533" t="s">
        <v>213</v>
      </c>
      <c r="D91" s="554">
        <f t="shared" si="17"/>
        <v>30000</v>
      </c>
      <c r="E91" s="554">
        <v>0</v>
      </c>
      <c r="F91" s="558">
        <v>0</v>
      </c>
      <c r="G91" s="554">
        <f t="shared" si="15"/>
        <v>0</v>
      </c>
      <c r="H91" s="555">
        <f>D91+G91</f>
        <v>30000</v>
      </c>
      <c r="I91" s="412"/>
    </row>
    <row r="92" spans="1:10" x14ac:dyDescent="0.2">
      <c r="A92" s="793"/>
      <c r="B92" s="456">
        <v>53204100100001</v>
      </c>
      <c r="C92" s="533" t="s">
        <v>22</v>
      </c>
      <c r="D92" s="554">
        <f t="shared" si="17"/>
        <v>30000</v>
      </c>
      <c r="E92" s="554">
        <v>0</v>
      </c>
      <c r="F92" s="558">
        <v>0</v>
      </c>
      <c r="G92" s="554">
        <f t="shared" si="15"/>
        <v>0</v>
      </c>
      <c r="H92" s="555">
        <f t="shared" si="16"/>
        <v>30000</v>
      </c>
      <c r="I92" s="412"/>
    </row>
    <row r="93" spans="1:10" x14ac:dyDescent="0.2">
      <c r="A93" s="793"/>
      <c r="B93" s="456">
        <v>53204130100000</v>
      </c>
      <c r="C93" s="533" t="s">
        <v>177</v>
      </c>
      <c r="D93" s="554">
        <f t="shared" si="17"/>
        <v>226000</v>
      </c>
      <c r="E93" s="554">
        <v>0</v>
      </c>
      <c r="F93" s="558">
        <v>0</v>
      </c>
      <c r="G93" s="554">
        <f t="shared" si="15"/>
        <v>0</v>
      </c>
      <c r="H93" s="555">
        <f t="shared" si="16"/>
        <v>226000</v>
      </c>
      <c r="I93" s="412"/>
    </row>
    <row r="94" spans="1:10" x14ac:dyDescent="0.2">
      <c r="A94" s="793"/>
      <c r="B94" s="456">
        <v>53205010100000</v>
      </c>
      <c r="C94" s="533" t="s">
        <v>24</v>
      </c>
      <c r="D94" s="554">
        <f t="shared" si="17"/>
        <v>2127961</v>
      </c>
      <c r="E94" s="554">
        <v>0</v>
      </c>
      <c r="F94" s="558">
        <v>0</v>
      </c>
      <c r="G94" s="554">
        <f t="shared" si="15"/>
        <v>0</v>
      </c>
      <c r="H94" s="555">
        <f t="shared" si="16"/>
        <v>2127961</v>
      </c>
      <c r="I94" s="412"/>
    </row>
    <row r="95" spans="1:10" x14ac:dyDescent="0.2">
      <c r="A95" s="793"/>
      <c r="B95" s="456">
        <v>53205020100000</v>
      </c>
      <c r="C95" s="533" t="s">
        <v>25</v>
      </c>
      <c r="D95" s="554">
        <f t="shared" si="17"/>
        <v>1229876</v>
      </c>
      <c r="E95" s="554">
        <v>0</v>
      </c>
      <c r="F95" s="558">
        <v>0</v>
      </c>
      <c r="G95" s="554">
        <f t="shared" si="15"/>
        <v>0</v>
      </c>
      <c r="H95" s="555">
        <f t="shared" si="16"/>
        <v>1229876</v>
      </c>
      <c r="I95" s="412"/>
    </row>
    <row r="96" spans="1:10" x14ac:dyDescent="0.2">
      <c r="A96" s="793"/>
      <c r="B96" s="456">
        <v>53205030100000</v>
      </c>
      <c r="C96" s="533" t="s">
        <v>26</v>
      </c>
      <c r="D96" s="554">
        <f t="shared" si="17"/>
        <v>3542081.8000000003</v>
      </c>
      <c r="E96" s="554">
        <v>0</v>
      </c>
      <c r="F96" s="558">
        <v>0</v>
      </c>
      <c r="G96" s="554">
        <f t="shared" si="15"/>
        <v>0</v>
      </c>
      <c r="H96" s="555">
        <f t="shared" si="16"/>
        <v>3542081.8000000003</v>
      </c>
      <c r="I96" s="412"/>
    </row>
    <row r="97" spans="1:9" x14ac:dyDescent="0.2">
      <c r="A97" s="793"/>
      <c r="B97" s="456">
        <v>53205050100000</v>
      </c>
      <c r="C97" s="533" t="s">
        <v>27</v>
      </c>
      <c r="D97" s="554">
        <f t="shared" si="17"/>
        <v>0</v>
      </c>
      <c r="E97" s="554">
        <v>0</v>
      </c>
      <c r="F97" s="558">
        <v>0</v>
      </c>
      <c r="G97" s="554">
        <f t="shared" si="15"/>
        <v>0</v>
      </c>
      <c r="H97" s="555">
        <f t="shared" si="16"/>
        <v>0</v>
      </c>
      <c r="I97" s="412"/>
    </row>
    <row r="98" spans="1:9" x14ac:dyDescent="0.2">
      <c r="A98" s="793"/>
      <c r="B98" s="456">
        <v>53205070100000</v>
      </c>
      <c r="C98" s="533" t="s">
        <v>29</v>
      </c>
      <c r="D98" s="554">
        <f t="shared" si="17"/>
        <v>67200</v>
      </c>
      <c r="E98" s="554">
        <v>0</v>
      </c>
      <c r="F98" s="558">
        <v>0</v>
      </c>
      <c r="G98" s="554">
        <f t="shared" si="15"/>
        <v>0</v>
      </c>
      <c r="H98" s="555">
        <f t="shared" si="16"/>
        <v>67200</v>
      </c>
      <c r="I98" s="412"/>
    </row>
    <row r="99" spans="1:9" x14ac:dyDescent="0.2">
      <c r="A99" s="793"/>
      <c r="B99" s="456">
        <v>53208010100000</v>
      </c>
      <c r="C99" s="533" t="s">
        <v>30</v>
      </c>
      <c r="D99" s="554">
        <f t="shared" si="17"/>
        <v>60000</v>
      </c>
      <c r="E99" s="554">
        <v>0</v>
      </c>
      <c r="F99" s="558">
        <v>0</v>
      </c>
      <c r="G99" s="554">
        <f t="shared" si="15"/>
        <v>0</v>
      </c>
      <c r="H99" s="555">
        <f t="shared" si="16"/>
        <v>60000</v>
      </c>
      <c r="I99" s="412"/>
    </row>
    <row r="100" spans="1:9" x14ac:dyDescent="0.2">
      <c r="A100" s="793"/>
      <c r="B100" s="456">
        <v>53208070100001</v>
      </c>
      <c r="C100" s="533" t="s">
        <v>31</v>
      </c>
      <c r="D100" s="554">
        <f t="shared" si="17"/>
        <v>60000</v>
      </c>
      <c r="E100" s="554">
        <v>0</v>
      </c>
      <c r="F100" s="558">
        <v>0</v>
      </c>
      <c r="G100" s="554">
        <f t="shared" si="15"/>
        <v>0</v>
      </c>
      <c r="H100" s="555">
        <f t="shared" si="16"/>
        <v>60000</v>
      </c>
      <c r="I100" s="412"/>
    </row>
    <row r="101" spans="1:9" x14ac:dyDescent="0.2">
      <c r="A101" s="793"/>
      <c r="B101" s="456">
        <v>53208100100001</v>
      </c>
      <c r="C101" s="533" t="s">
        <v>178</v>
      </c>
      <c r="D101" s="554">
        <f t="shared" si="17"/>
        <v>0</v>
      </c>
      <c r="E101" s="554">
        <v>0</v>
      </c>
      <c r="F101" s="558">
        <v>0</v>
      </c>
      <c r="G101" s="554">
        <f t="shared" si="15"/>
        <v>0</v>
      </c>
      <c r="H101" s="555">
        <f t="shared" si="16"/>
        <v>0</v>
      </c>
      <c r="I101" s="412"/>
    </row>
    <row r="102" spans="1:9" x14ac:dyDescent="0.2">
      <c r="A102" s="793"/>
      <c r="B102" s="456">
        <v>53211030000000</v>
      </c>
      <c r="C102" s="533" t="s">
        <v>32</v>
      </c>
      <c r="D102" s="554">
        <f t="shared" si="17"/>
        <v>0</v>
      </c>
      <c r="E102" s="554">
        <v>0</v>
      </c>
      <c r="F102" s="558">
        <v>0</v>
      </c>
      <c r="G102" s="554">
        <f t="shared" si="15"/>
        <v>0</v>
      </c>
      <c r="H102" s="555">
        <f t="shared" si="16"/>
        <v>0</v>
      </c>
      <c r="I102" s="412"/>
    </row>
    <row r="103" spans="1:9" x14ac:dyDescent="0.2">
      <c r="A103" s="793"/>
      <c r="B103" s="456">
        <v>53212020100000</v>
      </c>
      <c r="C103" s="533" t="s">
        <v>179</v>
      </c>
      <c r="D103" s="554">
        <f t="shared" si="17"/>
        <v>126000</v>
      </c>
      <c r="E103" s="554">
        <v>0</v>
      </c>
      <c r="F103" s="558">
        <v>0</v>
      </c>
      <c r="G103" s="554">
        <f t="shared" si="15"/>
        <v>0</v>
      </c>
      <c r="H103" s="555">
        <f t="shared" si="16"/>
        <v>126000</v>
      </c>
      <c r="I103" s="412"/>
    </row>
    <row r="104" spans="1:9" x14ac:dyDescent="0.2">
      <c r="A104" s="793"/>
      <c r="B104" s="456">
        <v>53214020000000</v>
      </c>
      <c r="C104" s="533" t="s">
        <v>180</v>
      </c>
      <c r="D104" s="554">
        <f t="shared" si="17"/>
        <v>0</v>
      </c>
      <c r="E104" s="554">
        <v>0</v>
      </c>
      <c r="F104" s="558">
        <v>0</v>
      </c>
      <c r="G104" s="554">
        <f t="shared" si="15"/>
        <v>0</v>
      </c>
      <c r="H104" s="555">
        <f t="shared" si="16"/>
        <v>0</v>
      </c>
      <c r="I104" s="412"/>
    </row>
    <row r="105" spans="1:9" x14ac:dyDescent="0.2">
      <c r="A105" s="793"/>
      <c r="B105" s="454"/>
      <c r="C105" s="535" t="s">
        <v>34</v>
      </c>
      <c r="D105" s="544">
        <v>0</v>
      </c>
      <c r="E105" s="545"/>
      <c r="F105" s="545"/>
      <c r="G105" s="544">
        <f>SUM(G106,G111,G113,G122,G131,G139)</f>
        <v>330400</v>
      </c>
      <c r="H105" s="194">
        <f>SUM(H106,H111,H113,H122,H131,H139)</f>
        <v>1947800</v>
      </c>
      <c r="I105" s="412"/>
    </row>
    <row r="106" spans="1:9" x14ac:dyDescent="0.2">
      <c r="A106" s="793"/>
      <c r="B106" s="455"/>
      <c r="C106" s="537" t="s">
        <v>35</v>
      </c>
      <c r="D106" s="548">
        <f>SUM(D107:D110)</f>
        <v>140000</v>
      </c>
      <c r="E106" s="549"/>
      <c r="F106" s="549"/>
      <c r="G106" s="559">
        <f>SUM(G107:G110)</f>
        <v>190000</v>
      </c>
      <c r="H106" s="560">
        <f>SUM(H107:H110)</f>
        <v>330000</v>
      </c>
      <c r="I106" s="412"/>
    </row>
    <row r="107" spans="1:9" x14ac:dyDescent="0.2">
      <c r="A107" s="793"/>
      <c r="B107" s="456">
        <v>53202020100000</v>
      </c>
      <c r="C107" s="533" t="s">
        <v>181</v>
      </c>
      <c r="D107" s="402">
        <v>0</v>
      </c>
      <c r="E107" s="403">
        <v>30000</v>
      </c>
      <c r="F107" s="404">
        <v>5</v>
      </c>
      <c r="G107" s="554">
        <f>E107*F107</f>
        <v>150000</v>
      </c>
      <c r="H107" s="555">
        <f t="shared" ref="H107:H140" si="18">D107+G107</f>
        <v>150000</v>
      </c>
      <c r="I107" s="412"/>
    </row>
    <row r="108" spans="1:9" x14ac:dyDescent="0.2">
      <c r="A108" s="793"/>
      <c r="B108" s="456">
        <v>53202030000000</v>
      </c>
      <c r="C108" s="533" t="s">
        <v>182</v>
      </c>
      <c r="D108" s="402">
        <v>0</v>
      </c>
      <c r="E108" s="403">
        <v>20000</v>
      </c>
      <c r="F108" s="404">
        <v>2</v>
      </c>
      <c r="G108" s="554">
        <f t="shared" ref="G108:G140" si="19">E108*F108</f>
        <v>40000</v>
      </c>
      <c r="H108" s="555">
        <f t="shared" si="18"/>
        <v>40000</v>
      </c>
      <c r="I108" s="412"/>
    </row>
    <row r="109" spans="1:9" x14ac:dyDescent="0.2">
      <c r="A109" s="793"/>
      <c r="B109" s="456">
        <v>53211020000000</v>
      </c>
      <c r="C109" s="533" t="s">
        <v>41</v>
      </c>
      <c r="D109" s="557">
        <f>+P33</f>
        <v>100000</v>
      </c>
      <c r="E109" s="554">
        <v>0</v>
      </c>
      <c r="F109" s="558">
        <v>0</v>
      </c>
      <c r="G109" s="554">
        <f t="shared" si="19"/>
        <v>0</v>
      </c>
      <c r="H109" s="555">
        <f t="shared" si="18"/>
        <v>100000</v>
      </c>
      <c r="I109" s="412"/>
    </row>
    <row r="110" spans="1:9" x14ac:dyDescent="0.2">
      <c r="A110" s="793"/>
      <c r="B110" s="456">
        <v>53101040600000</v>
      </c>
      <c r="C110" s="533" t="s">
        <v>183</v>
      </c>
      <c r="D110" s="557">
        <f>+P34</f>
        <v>40000</v>
      </c>
      <c r="E110" s="554">
        <v>0</v>
      </c>
      <c r="F110" s="558">
        <v>0</v>
      </c>
      <c r="G110" s="554">
        <f t="shared" si="19"/>
        <v>0</v>
      </c>
      <c r="H110" s="555">
        <f t="shared" si="18"/>
        <v>40000</v>
      </c>
      <c r="I110" s="412"/>
    </row>
    <row r="111" spans="1:9" x14ac:dyDescent="0.2">
      <c r="A111" s="793"/>
      <c r="B111" s="455"/>
      <c r="C111" s="537" t="s">
        <v>42</v>
      </c>
      <c r="D111" s="548">
        <f>SUM(D112:D112)</f>
        <v>0</v>
      </c>
      <c r="E111" s="549"/>
      <c r="F111" s="549"/>
      <c r="G111" s="559">
        <f>SUM(G112:G112)</f>
        <v>0</v>
      </c>
      <c r="H111" s="560">
        <f>SUM(H112:H112)</f>
        <v>0</v>
      </c>
      <c r="I111" s="412"/>
    </row>
    <row r="112" spans="1:9" x14ac:dyDescent="0.2">
      <c r="A112" s="793"/>
      <c r="B112" s="458">
        <v>53205990000000</v>
      </c>
      <c r="C112" s="533" t="s">
        <v>44</v>
      </c>
      <c r="D112" s="557">
        <f>+P36</f>
        <v>0</v>
      </c>
      <c r="E112" s="554">
        <v>0</v>
      </c>
      <c r="F112" s="558">
        <v>0</v>
      </c>
      <c r="G112" s="554">
        <f t="shared" si="19"/>
        <v>0</v>
      </c>
      <c r="H112" s="555">
        <f t="shared" si="18"/>
        <v>0</v>
      </c>
      <c r="I112" s="412"/>
    </row>
    <row r="113" spans="1:9" x14ac:dyDescent="0.2">
      <c r="A113" s="793"/>
      <c r="B113" s="455"/>
      <c r="C113" s="537" t="s">
        <v>45</v>
      </c>
      <c r="D113" s="548">
        <f>SUM(D114:D121)</f>
        <v>481600</v>
      </c>
      <c r="E113" s="549"/>
      <c r="F113" s="549"/>
      <c r="G113" s="548">
        <f>SUM(G114:G121)</f>
        <v>0</v>
      </c>
      <c r="H113" s="193">
        <f>SUM(H114:H121)</f>
        <v>481600</v>
      </c>
      <c r="I113" s="412"/>
    </row>
    <row r="114" spans="1:9" x14ac:dyDescent="0.2">
      <c r="A114" s="793"/>
      <c r="B114" s="456">
        <v>53204010000000</v>
      </c>
      <c r="C114" s="533" t="s">
        <v>47</v>
      </c>
      <c r="D114" s="557">
        <f>+P38</f>
        <v>151200</v>
      </c>
      <c r="E114" s="557">
        <v>0</v>
      </c>
      <c r="F114" s="558">
        <v>0</v>
      </c>
      <c r="G114" s="554">
        <f t="shared" si="19"/>
        <v>0</v>
      </c>
      <c r="H114" s="555">
        <f t="shared" si="18"/>
        <v>151200</v>
      </c>
      <c r="I114" s="412"/>
    </row>
    <row r="115" spans="1:9" x14ac:dyDescent="0.2">
      <c r="A115" s="793"/>
      <c r="B115" s="458">
        <v>53204040200000</v>
      </c>
      <c r="C115" s="533" t="s">
        <v>212</v>
      </c>
      <c r="D115" s="557">
        <f t="shared" ref="D115:D121" si="20">+P39</f>
        <v>12000</v>
      </c>
      <c r="E115" s="557">
        <v>0</v>
      </c>
      <c r="F115" s="558">
        <v>0</v>
      </c>
      <c r="G115" s="554">
        <f t="shared" si="19"/>
        <v>0</v>
      </c>
      <c r="H115" s="555">
        <f t="shared" si="18"/>
        <v>12000</v>
      </c>
      <c r="I115" s="412"/>
    </row>
    <row r="116" spans="1:9" x14ac:dyDescent="0.2">
      <c r="A116" s="793"/>
      <c r="B116" s="456">
        <v>53204060000000</v>
      </c>
      <c r="C116" s="533" t="s">
        <v>49</v>
      </c>
      <c r="D116" s="557">
        <f t="shared" si="20"/>
        <v>0</v>
      </c>
      <c r="E116" s="557">
        <v>0</v>
      </c>
      <c r="F116" s="558">
        <v>0</v>
      </c>
      <c r="G116" s="554">
        <f t="shared" si="19"/>
        <v>0</v>
      </c>
      <c r="H116" s="555">
        <f t="shared" si="18"/>
        <v>0</v>
      </c>
      <c r="I116" s="412"/>
    </row>
    <row r="117" spans="1:9" x14ac:dyDescent="0.2">
      <c r="A117" s="793"/>
      <c r="B117" s="456">
        <v>53204070000000</v>
      </c>
      <c r="C117" s="533" t="s">
        <v>50</v>
      </c>
      <c r="D117" s="557">
        <f t="shared" si="20"/>
        <v>302400</v>
      </c>
      <c r="E117" s="557">
        <v>0</v>
      </c>
      <c r="F117" s="558">
        <v>0</v>
      </c>
      <c r="G117" s="554">
        <f t="shared" si="19"/>
        <v>0</v>
      </c>
      <c r="H117" s="555">
        <f t="shared" si="18"/>
        <v>302400</v>
      </c>
      <c r="I117" s="412"/>
    </row>
    <row r="118" spans="1:9" x14ac:dyDescent="0.2">
      <c r="A118" s="793"/>
      <c r="B118" s="456">
        <v>53204080000000</v>
      </c>
      <c r="C118" s="533" t="s">
        <v>51</v>
      </c>
      <c r="D118" s="557">
        <f t="shared" si="20"/>
        <v>0</v>
      </c>
      <c r="E118" s="557">
        <v>0</v>
      </c>
      <c r="F118" s="558">
        <v>0</v>
      </c>
      <c r="G118" s="554">
        <f t="shared" si="19"/>
        <v>0</v>
      </c>
      <c r="H118" s="555">
        <f t="shared" si="18"/>
        <v>0</v>
      </c>
      <c r="I118" s="412"/>
    </row>
    <row r="119" spans="1:9" x14ac:dyDescent="0.2">
      <c r="A119" s="793"/>
      <c r="B119" s="456">
        <v>53214010000000</v>
      </c>
      <c r="C119" s="533" t="s">
        <v>52</v>
      </c>
      <c r="D119" s="557">
        <f t="shared" si="20"/>
        <v>0</v>
      </c>
      <c r="E119" s="557">
        <v>0</v>
      </c>
      <c r="F119" s="558">
        <v>0</v>
      </c>
      <c r="G119" s="554">
        <f t="shared" si="19"/>
        <v>0</v>
      </c>
      <c r="H119" s="555">
        <f t="shared" si="18"/>
        <v>0</v>
      </c>
      <c r="I119" s="412"/>
    </row>
    <row r="120" spans="1:9" x14ac:dyDescent="0.2">
      <c r="A120" s="793"/>
      <c r="B120" s="456">
        <v>53214040000000</v>
      </c>
      <c r="C120" s="533" t="s">
        <v>184</v>
      </c>
      <c r="D120" s="557">
        <f t="shared" si="20"/>
        <v>0</v>
      </c>
      <c r="E120" s="557">
        <v>0</v>
      </c>
      <c r="F120" s="558">
        <v>0</v>
      </c>
      <c r="G120" s="554">
        <f t="shared" si="19"/>
        <v>0</v>
      </c>
      <c r="H120" s="555">
        <f t="shared" si="18"/>
        <v>0</v>
      </c>
      <c r="I120" s="412"/>
    </row>
    <row r="121" spans="1:9" x14ac:dyDescent="0.2">
      <c r="A121" s="793"/>
      <c r="B121" s="457">
        <v>53204020100000</v>
      </c>
      <c r="C121" s="533" t="s">
        <v>176</v>
      </c>
      <c r="D121" s="557">
        <f t="shared" si="20"/>
        <v>16000</v>
      </c>
      <c r="E121" s="557">
        <v>0</v>
      </c>
      <c r="F121" s="558">
        <v>0</v>
      </c>
      <c r="G121" s="554">
        <f t="shared" si="19"/>
        <v>0</v>
      </c>
      <c r="H121" s="555">
        <f t="shared" si="18"/>
        <v>16000</v>
      </c>
      <c r="I121" s="412"/>
    </row>
    <row r="122" spans="1:9" x14ac:dyDescent="0.2">
      <c r="A122" s="793"/>
      <c r="B122" s="455"/>
      <c r="C122" s="537" t="s">
        <v>55</v>
      </c>
      <c r="D122" s="548">
        <f>SUM(D123:D130)</f>
        <v>46000</v>
      </c>
      <c r="E122" s="549"/>
      <c r="F122" s="549"/>
      <c r="G122" s="548">
        <f>SUM(G123:G130)</f>
        <v>107900</v>
      </c>
      <c r="H122" s="193">
        <f>SUM(H123:H130)</f>
        <v>153900</v>
      </c>
      <c r="I122" s="412"/>
    </row>
    <row r="123" spans="1:9" x14ac:dyDescent="0.2">
      <c r="A123" s="793"/>
      <c r="B123" s="456">
        <v>53207010000000</v>
      </c>
      <c r="C123" s="533" t="s">
        <v>56</v>
      </c>
      <c r="D123" s="557">
        <f>+P47</f>
        <v>0</v>
      </c>
      <c r="E123" s="557">
        <v>0</v>
      </c>
      <c r="F123" s="558">
        <v>0</v>
      </c>
      <c r="G123" s="554">
        <f t="shared" si="19"/>
        <v>0</v>
      </c>
      <c r="H123" s="555">
        <f t="shared" si="18"/>
        <v>0</v>
      </c>
      <c r="I123" s="412"/>
    </row>
    <row r="124" spans="1:9" x14ac:dyDescent="0.2">
      <c r="A124" s="793"/>
      <c r="B124" s="456">
        <v>53207020000000</v>
      </c>
      <c r="C124" s="533" t="s">
        <v>57</v>
      </c>
      <c r="D124" s="557">
        <f t="shared" ref="D124:D126" si="21">+P48</f>
        <v>0</v>
      </c>
      <c r="E124" s="557">
        <v>0</v>
      </c>
      <c r="F124" s="558">
        <v>0</v>
      </c>
      <c r="G124" s="554">
        <f t="shared" si="19"/>
        <v>0</v>
      </c>
      <c r="H124" s="555">
        <f t="shared" si="18"/>
        <v>0</v>
      </c>
      <c r="I124" s="412"/>
    </row>
    <row r="125" spans="1:9" x14ac:dyDescent="0.2">
      <c r="A125" s="793"/>
      <c r="B125" s="456">
        <v>53208020000000</v>
      </c>
      <c r="C125" s="533" t="s">
        <v>167</v>
      </c>
      <c r="D125" s="557">
        <f t="shared" si="21"/>
        <v>0</v>
      </c>
      <c r="E125" s="557">
        <v>0</v>
      </c>
      <c r="F125" s="558">
        <v>0</v>
      </c>
      <c r="G125" s="554">
        <f t="shared" si="19"/>
        <v>0</v>
      </c>
      <c r="H125" s="555">
        <f t="shared" si="18"/>
        <v>0</v>
      </c>
      <c r="I125" s="412"/>
    </row>
    <row r="126" spans="1:9" x14ac:dyDescent="0.2">
      <c r="A126" s="793"/>
      <c r="B126" s="456">
        <v>53208990000000</v>
      </c>
      <c r="C126" s="533" t="s">
        <v>185</v>
      </c>
      <c r="D126" s="557">
        <f t="shared" si="21"/>
        <v>30000</v>
      </c>
      <c r="E126" s="557">
        <v>0</v>
      </c>
      <c r="F126" s="558">
        <v>0</v>
      </c>
      <c r="G126" s="554">
        <f t="shared" si="19"/>
        <v>0</v>
      </c>
      <c r="H126" s="555">
        <f t="shared" si="18"/>
        <v>30000</v>
      </c>
      <c r="I126" s="412"/>
    </row>
    <row r="127" spans="1:9" x14ac:dyDescent="0.2">
      <c r="A127" s="793"/>
      <c r="B127" s="457">
        <v>53210020300000</v>
      </c>
      <c r="C127" s="533" t="s">
        <v>187</v>
      </c>
      <c r="D127" s="557">
        <v>0</v>
      </c>
      <c r="E127" s="661">
        <v>8300</v>
      </c>
      <c r="F127" s="558">
        <f>+'B) Reajuste Tarifas y Ocupación'!I33</f>
        <v>13</v>
      </c>
      <c r="G127" s="554">
        <f t="shared" si="19"/>
        <v>107900</v>
      </c>
      <c r="H127" s="555">
        <f t="shared" si="18"/>
        <v>107900</v>
      </c>
      <c r="I127" s="412"/>
    </row>
    <row r="128" spans="1:9" x14ac:dyDescent="0.2">
      <c r="A128" s="793"/>
      <c r="B128" s="456">
        <v>53208990000000</v>
      </c>
      <c r="C128" s="533" t="s">
        <v>188</v>
      </c>
      <c r="D128" s="557">
        <f>+P51</f>
        <v>0</v>
      </c>
      <c r="E128" s="557">
        <v>0</v>
      </c>
      <c r="F128" s="558">
        <v>0</v>
      </c>
      <c r="G128" s="554">
        <f t="shared" si="19"/>
        <v>0</v>
      </c>
      <c r="H128" s="555">
        <f t="shared" si="18"/>
        <v>0</v>
      </c>
      <c r="I128" s="412"/>
    </row>
    <row r="129" spans="1:11" x14ac:dyDescent="0.2">
      <c r="A129" s="793"/>
      <c r="B129" s="456">
        <v>53209990000000</v>
      </c>
      <c r="C129" s="533" t="s">
        <v>186</v>
      </c>
      <c r="D129" s="557">
        <f>+P52</f>
        <v>16000</v>
      </c>
      <c r="E129" s="557">
        <v>0</v>
      </c>
      <c r="F129" s="558">
        <v>0</v>
      </c>
      <c r="G129" s="554">
        <f t="shared" si="19"/>
        <v>0</v>
      </c>
      <c r="H129" s="555">
        <f t="shared" si="18"/>
        <v>16000</v>
      </c>
      <c r="I129" s="412"/>
    </row>
    <row r="130" spans="1:11" x14ac:dyDescent="0.2">
      <c r="A130" s="793"/>
      <c r="B130" s="456">
        <v>53210020100000</v>
      </c>
      <c r="C130" s="533" t="s">
        <v>64</v>
      </c>
      <c r="D130" s="557">
        <f>+P53</f>
        <v>0</v>
      </c>
      <c r="E130" s="557">
        <v>0</v>
      </c>
      <c r="F130" s="558">
        <v>0</v>
      </c>
      <c r="G130" s="554">
        <f t="shared" si="19"/>
        <v>0</v>
      </c>
      <c r="H130" s="555">
        <f t="shared" si="18"/>
        <v>0</v>
      </c>
      <c r="I130" s="412"/>
    </row>
    <row r="131" spans="1:11" x14ac:dyDescent="0.2">
      <c r="A131" s="793"/>
      <c r="B131" s="455"/>
      <c r="C131" s="537" t="s">
        <v>65</v>
      </c>
      <c r="D131" s="548">
        <f>SUM(D132:D138)</f>
        <v>559800</v>
      </c>
      <c r="E131" s="549"/>
      <c r="F131" s="549"/>
      <c r="G131" s="548">
        <f>SUM(G132:G138)</f>
        <v>0</v>
      </c>
      <c r="H131" s="193">
        <f>SUM(H132:H138)</f>
        <v>559800</v>
      </c>
      <c r="I131" s="412"/>
    </row>
    <row r="132" spans="1:11" x14ac:dyDescent="0.2">
      <c r="A132" s="793"/>
      <c r="B132" s="456">
        <v>53206030000000</v>
      </c>
      <c r="C132" s="533" t="s">
        <v>100</v>
      </c>
      <c r="D132" s="557">
        <f>+P55</f>
        <v>36000</v>
      </c>
      <c r="E132" s="557">
        <v>0</v>
      </c>
      <c r="F132" s="558">
        <v>0</v>
      </c>
      <c r="G132" s="554">
        <f t="shared" si="19"/>
        <v>0</v>
      </c>
      <c r="H132" s="555">
        <f t="shared" si="18"/>
        <v>36000</v>
      </c>
      <c r="I132" s="412"/>
    </row>
    <row r="133" spans="1:11" x14ac:dyDescent="0.2">
      <c r="A133" s="793"/>
      <c r="B133" s="456">
        <v>53206040000000</v>
      </c>
      <c r="C133" s="533" t="s">
        <v>101</v>
      </c>
      <c r="D133" s="557">
        <f t="shared" ref="D133:D138" si="22">+P56</f>
        <v>420000</v>
      </c>
      <c r="E133" s="557">
        <v>0</v>
      </c>
      <c r="F133" s="558">
        <v>0</v>
      </c>
      <c r="G133" s="554">
        <f t="shared" si="19"/>
        <v>0</v>
      </c>
      <c r="H133" s="555">
        <f t="shared" si="18"/>
        <v>420000</v>
      </c>
      <c r="I133" s="412"/>
    </row>
    <row r="134" spans="1:11" x14ac:dyDescent="0.2">
      <c r="A134" s="793"/>
      <c r="B134" s="456">
        <v>53206060000000</v>
      </c>
      <c r="C134" s="533" t="s">
        <v>189</v>
      </c>
      <c r="D134" s="557">
        <f t="shared" si="22"/>
        <v>0</v>
      </c>
      <c r="E134" s="557">
        <v>0</v>
      </c>
      <c r="F134" s="558">
        <v>0</v>
      </c>
      <c r="G134" s="554">
        <f t="shared" si="19"/>
        <v>0</v>
      </c>
      <c r="H134" s="555">
        <f t="shared" si="18"/>
        <v>0</v>
      </c>
      <c r="I134" s="412"/>
    </row>
    <row r="135" spans="1:11" x14ac:dyDescent="0.2">
      <c r="A135" s="793"/>
      <c r="B135" s="456">
        <v>53206070000000</v>
      </c>
      <c r="C135" s="533" t="s">
        <v>103</v>
      </c>
      <c r="D135" s="557">
        <f t="shared" si="22"/>
        <v>0</v>
      </c>
      <c r="E135" s="557">
        <v>0</v>
      </c>
      <c r="F135" s="558">
        <v>0</v>
      </c>
      <c r="G135" s="554">
        <f t="shared" si="19"/>
        <v>0</v>
      </c>
      <c r="H135" s="555">
        <f t="shared" si="18"/>
        <v>0</v>
      </c>
      <c r="I135" s="412"/>
    </row>
    <row r="136" spans="1:11" x14ac:dyDescent="0.2">
      <c r="A136" s="793"/>
      <c r="B136" s="456">
        <v>53206990000000</v>
      </c>
      <c r="C136" s="533" t="s">
        <v>190</v>
      </c>
      <c r="D136" s="557">
        <f t="shared" si="22"/>
        <v>36000</v>
      </c>
      <c r="E136" s="557">
        <v>0</v>
      </c>
      <c r="F136" s="558">
        <v>0</v>
      </c>
      <c r="G136" s="554">
        <f t="shared" si="19"/>
        <v>0</v>
      </c>
      <c r="H136" s="555">
        <f t="shared" si="18"/>
        <v>36000</v>
      </c>
      <c r="I136" s="412"/>
    </row>
    <row r="137" spans="1:11" x14ac:dyDescent="0.2">
      <c r="A137" s="793"/>
      <c r="B137" s="456">
        <v>53208030000000</v>
      </c>
      <c r="C137" s="533" t="s">
        <v>105</v>
      </c>
      <c r="D137" s="557">
        <f t="shared" si="22"/>
        <v>37800</v>
      </c>
      <c r="E137" s="557">
        <v>0</v>
      </c>
      <c r="F137" s="558">
        <v>0</v>
      </c>
      <c r="G137" s="554">
        <f t="shared" si="19"/>
        <v>0</v>
      </c>
      <c r="H137" s="555">
        <f t="shared" si="18"/>
        <v>37800</v>
      </c>
      <c r="I137" s="412"/>
    </row>
    <row r="138" spans="1:11" x14ac:dyDescent="0.2">
      <c r="A138" s="793"/>
      <c r="B138" s="456">
        <v>53206990000000</v>
      </c>
      <c r="C138" s="533" t="s">
        <v>211</v>
      </c>
      <c r="D138" s="557">
        <f t="shared" si="22"/>
        <v>30000</v>
      </c>
      <c r="E138" s="557">
        <v>0</v>
      </c>
      <c r="F138" s="558">
        <v>0</v>
      </c>
      <c r="G138" s="554">
        <f t="shared" si="19"/>
        <v>0</v>
      </c>
      <c r="H138" s="555">
        <f t="shared" si="18"/>
        <v>30000</v>
      </c>
      <c r="I138" s="409"/>
    </row>
    <row r="139" spans="1:11" x14ac:dyDescent="0.2">
      <c r="A139" s="793"/>
      <c r="B139" s="455"/>
      <c r="C139" s="537" t="s">
        <v>66</v>
      </c>
      <c r="D139" s="548">
        <f>SUM(D140:D140)</f>
        <v>390000</v>
      </c>
      <c r="E139" s="549"/>
      <c r="F139" s="549"/>
      <c r="G139" s="548">
        <f>SUM(G140:G140)</f>
        <v>32500</v>
      </c>
      <c r="H139" s="193">
        <f>SUM(H140:H140)</f>
        <v>422500</v>
      </c>
      <c r="I139" s="409"/>
    </row>
    <row r="140" spans="1:11" x14ac:dyDescent="0.2">
      <c r="A140" s="793"/>
      <c r="B140" s="459"/>
      <c r="C140" s="561" t="s">
        <v>214</v>
      </c>
      <c r="D140" s="402">
        <f>2500*12*13</f>
        <v>390000</v>
      </c>
      <c r="E140" s="402">
        <v>2500</v>
      </c>
      <c r="F140" s="404">
        <v>13</v>
      </c>
      <c r="G140" s="554">
        <f t="shared" si="19"/>
        <v>32500</v>
      </c>
      <c r="H140" s="562">
        <f t="shared" si="18"/>
        <v>422500</v>
      </c>
      <c r="I140" s="410"/>
      <c r="J140" s="461" t="s">
        <v>215</v>
      </c>
      <c r="K140" s="335">
        <f>+H138+H137+H136+H135+H134+H133+H132+H130+H129+H128+H127+H126+H125+H124+H123+H121+H118+H117+H116+H115+H114+H112+H110+H109+H103+H102+H101+H99+H98+H97+H96+H95+H94+H93+H92+H91+H90+H89</f>
        <v>8774418.8000000007</v>
      </c>
    </row>
    <row r="141" spans="1:11" x14ac:dyDescent="0.2">
      <c r="A141" s="793"/>
      <c r="B141" s="460"/>
      <c r="C141" s="563" t="s">
        <v>106</v>
      </c>
      <c r="D141" s="564">
        <f>SUM(D78,D105)</f>
        <v>38831398.799999997</v>
      </c>
      <c r="E141" s="565"/>
      <c r="F141" s="565"/>
      <c r="G141" s="564">
        <f>SUM(G78,G105)</f>
        <v>818680</v>
      </c>
      <c r="H141" s="42">
        <f>SUM(H78,H105)</f>
        <v>41267478.799999997</v>
      </c>
      <c r="I141" s="413"/>
      <c r="J141" s="453" t="s">
        <v>216</v>
      </c>
      <c r="K141" s="540">
        <f>+H142-K140</f>
        <v>113569950.2</v>
      </c>
    </row>
    <row r="142" spans="1:11" ht="15.75" x14ac:dyDescent="0.2">
      <c r="A142" s="787" t="s">
        <v>110</v>
      </c>
      <c r="B142" s="787"/>
      <c r="C142" s="787"/>
      <c r="D142" s="787"/>
      <c r="E142" s="787"/>
      <c r="F142" s="787"/>
      <c r="G142" s="788"/>
      <c r="H142" s="41">
        <f>+H141+H75</f>
        <v>122344369</v>
      </c>
    </row>
  </sheetData>
  <sheetProtection algorithmName="SHA-512" hashValue="pCw0HvYVmSBi5GoKfMQQpsb08r0UAuYnVZL+y/s1kDKVu3Cq4fEbnVM1szWnTOBfpWbzdM91Wx64Bl3LtvYLjA==" saltValue="su3Oi3MxknH5NHjZSkWNlg==" spinCount="100000" sheet="1" objects="1" scenarios="1"/>
  <mergeCells count="23">
    <mergeCell ref="D4:E4"/>
    <mergeCell ref="A8:C8"/>
    <mergeCell ref="A12:A75"/>
    <mergeCell ref="I10:I11"/>
    <mergeCell ref="B10:B11"/>
    <mergeCell ref="A10:A11"/>
    <mergeCell ref="E10:G10"/>
    <mergeCell ref="D10:D11"/>
    <mergeCell ref="H10:H11"/>
    <mergeCell ref="C10:C11"/>
    <mergeCell ref="M10:M11"/>
    <mergeCell ref="N10:N11"/>
    <mergeCell ref="O10:O11"/>
    <mergeCell ref="P10:P11"/>
    <mergeCell ref="A142:G142"/>
    <mergeCell ref="H76:H77"/>
    <mergeCell ref="I76:I77"/>
    <mergeCell ref="A78:A141"/>
    <mergeCell ref="A76:A77"/>
    <mergeCell ref="B76:B77"/>
    <mergeCell ref="C76:C77"/>
    <mergeCell ref="D76:D77"/>
    <mergeCell ref="E76:G76"/>
  </mergeCells>
  <pageMargins left="0.85" right="0.75" top="0.57013888888888886" bottom="0.90972222222222221" header="0" footer="0.51180555555555551"/>
  <pageSetup firstPageNumber="0" fitToHeight="12" orientation="landscape" horizontalDpi="300" verticalDpi="300" r:id="rId1"/>
  <headerFooter alignWithMargins="0">
    <oddHeader>&amp;LSEPT - 2004&amp;CDIRECTIVA D.B.S.A.ORDINARIO&amp;R02-BS/0307/02pag &amp;P de &amp;N</oddHeader>
  </headerFooter>
  <ignoredErrors>
    <ignoredError sqref="G19:H19 G45:H45 G47:H47 G65:H65 G73:H73 G56:H56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IH101"/>
  <sheetViews>
    <sheetView showGridLines="0" topLeftCell="A16" zoomScale="80" zoomScaleNormal="80" workbookViewId="0">
      <selection activeCell="W21" sqref="W21"/>
    </sheetView>
  </sheetViews>
  <sheetFormatPr baseColWidth="10" defaultColWidth="11.42578125" defaultRowHeight="12.75" x14ac:dyDescent="0.2"/>
  <cols>
    <col min="1" max="1" width="11.42578125" style="20" customWidth="1"/>
    <col min="2" max="2" width="28" style="20" customWidth="1"/>
    <col min="3" max="3" width="28.7109375" style="20" customWidth="1"/>
    <col min="4" max="4" width="24.140625" style="20" customWidth="1"/>
    <col min="5" max="5" width="25.140625" style="20" customWidth="1"/>
    <col min="6" max="6" width="22.140625" style="20" customWidth="1"/>
    <col min="7" max="7" width="14.85546875" style="20" customWidth="1"/>
    <col min="8" max="8" width="15" style="20" customWidth="1"/>
    <col min="9" max="9" width="15.140625" style="20" customWidth="1"/>
    <col min="10" max="10" width="17.42578125" style="20" customWidth="1"/>
    <col min="11" max="11" width="19.140625" style="20" customWidth="1"/>
    <col min="12" max="12" width="4.85546875" style="20" customWidth="1"/>
    <col min="13" max="13" width="19.140625" style="20" customWidth="1"/>
    <col min="14" max="14" width="16.140625" style="20" customWidth="1"/>
    <col min="15" max="15" width="17.140625" style="20" customWidth="1"/>
    <col min="16" max="16" width="14.85546875" style="20" customWidth="1"/>
    <col min="17" max="17" width="17.7109375" style="20" customWidth="1"/>
    <col min="18" max="18" width="17.140625" style="20" customWidth="1"/>
    <col min="19" max="19" width="17.42578125" style="20" customWidth="1"/>
    <col min="20" max="20" width="5" style="20" customWidth="1"/>
    <col min="21" max="21" width="19.85546875" style="20" bestFit="1" customWidth="1"/>
    <col min="22" max="22" width="52.140625" style="20" bestFit="1" customWidth="1"/>
    <col min="23" max="23" width="18.28515625" style="20" customWidth="1"/>
    <col min="24" max="24" width="5.7109375" style="20" customWidth="1"/>
    <col min="25" max="25" width="11.42578125" style="20" customWidth="1"/>
    <col min="26" max="31" width="14.28515625" style="20" customWidth="1"/>
    <col min="32" max="32" width="11.28515625" style="20" customWidth="1"/>
    <col min="33" max="38" width="14.28515625" style="20" customWidth="1"/>
    <col min="39" max="39" width="11.42578125" style="20"/>
    <col min="40" max="45" width="14.28515625" style="20" customWidth="1"/>
    <col min="46" max="16384" width="11.42578125" style="20"/>
  </cols>
  <sheetData>
    <row r="1" spans="1:242" s="4" customFormat="1" x14ac:dyDescent="0.2">
      <c r="E1" s="33" t="s">
        <v>201</v>
      </c>
      <c r="F1" s="33"/>
      <c r="G1" s="33"/>
      <c r="H1" s="33"/>
      <c r="I1" s="33"/>
      <c r="IG1" s="2"/>
      <c r="IH1" s="2"/>
    </row>
    <row r="2" spans="1:242" s="4" customFormat="1" x14ac:dyDescent="0.2">
      <c r="E2" s="33" t="s">
        <v>193</v>
      </c>
      <c r="F2" s="33"/>
      <c r="G2" s="33"/>
      <c r="H2" s="33"/>
      <c r="I2" s="33"/>
      <c r="IG2" s="2"/>
      <c r="IH2" s="2"/>
    </row>
    <row r="3" spans="1:242" s="4" customFormat="1" x14ac:dyDescent="0.2">
      <c r="B3" s="16"/>
      <c r="HX3" s="2"/>
      <c r="HY3" s="2"/>
      <c r="HZ3" s="2"/>
      <c r="IA3" s="2"/>
      <c r="IB3" s="2"/>
      <c r="IC3" s="2"/>
    </row>
    <row r="4" spans="1:242" s="4" customFormat="1" ht="18.75" customHeight="1" x14ac:dyDescent="0.2">
      <c r="B4" s="16"/>
      <c r="D4" s="66" t="s">
        <v>0</v>
      </c>
      <c r="E4" s="120" t="str">
        <f>+'B) Reajuste Tarifas y Ocupación'!F5</f>
        <v>BIENMAG</v>
      </c>
      <c r="F4" s="44"/>
      <c r="G4" s="45"/>
      <c r="H4" s="45"/>
      <c r="I4" s="45"/>
      <c r="J4" s="45"/>
      <c r="O4" s="1"/>
      <c r="HX4" s="2"/>
      <c r="HY4" s="2"/>
      <c r="HZ4" s="2"/>
      <c r="IA4" s="2"/>
      <c r="IB4" s="2"/>
      <c r="IC4" s="2"/>
    </row>
    <row r="5" spans="1:242" s="4" customFormat="1" x14ac:dyDescent="0.2">
      <c r="B5" s="16"/>
      <c r="D5" s="6"/>
      <c r="E5" s="33"/>
      <c r="F5" s="33"/>
      <c r="G5" s="33"/>
      <c r="H5" s="33"/>
      <c r="I5" s="33"/>
      <c r="J5" s="33"/>
      <c r="O5" s="1"/>
      <c r="HX5" s="2"/>
      <c r="HY5" s="2"/>
      <c r="HZ5" s="2"/>
      <c r="IA5" s="2"/>
      <c r="IB5" s="2"/>
      <c r="IC5" s="2"/>
    </row>
    <row r="6" spans="1:242" s="4" customFormat="1" ht="13.5" thickBot="1" x14ac:dyDescent="0.25">
      <c r="B6" s="16"/>
      <c r="D6" s="6"/>
      <c r="E6" s="33"/>
      <c r="F6" s="33"/>
      <c r="G6" s="33"/>
      <c r="H6" s="33"/>
      <c r="I6" s="33"/>
      <c r="J6" s="33"/>
      <c r="O6" s="1"/>
      <c r="HX6" s="2"/>
      <c r="HY6" s="2"/>
      <c r="HZ6" s="2"/>
      <c r="IA6" s="2"/>
      <c r="IB6" s="2"/>
      <c r="IC6" s="2"/>
    </row>
    <row r="7" spans="1:242" x14ac:dyDescent="0.2">
      <c r="B7" s="18"/>
      <c r="C7" s="18"/>
      <c r="D7" s="18"/>
      <c r="E7" s="18"/>
      <c r="F7" s="18"/>
      <c r="G7" s="18"/>
      <c r="H7" s="18"/>
      <c r="I7" s="18"/>
      <c r="J7" s="28"/>
      <c r="K7" s="28"/>
      <c r="L7" s="28"/>
      <c r="M7" s="28"/>
      <c r="N7" s="28"/>
      <c r="O7" s="28"/>
      <c r="P7" s="28"/>
      <c r="Q7" s="28"/>
      <c r="R7" s="28"/>
      <c r="Y7" s="143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44"/>
      <c r="AK7" s="144"/>
      <c r="AL7" s="144"/>
      <c r="AM7" s="144"/>
      <c r="AN7" s="144"/>
      <c r="AO7" s="144"/>
      <c r="AP7" s="144"/>
      <c r="AQ7" s="144"/>
      <c r="AR7" s="144"/>
      <c r="AS7" s="144"/>
      <c r="AT7" s="145"/>
    </row>
    <row r="8" spans="1:242" x14ac:dyDescent="0.2">
      <c r="B8" s="18"/>
      <c r="C8" s="18"/>
      <c r="D8" s="18"/>
      <c r="E8" s="18"/>
      <c r="F8" s="18"/>
      <c r="G8" s="18"/>
      <c r="H8" s="18"/>
      <c r="I8" s="18"/>
      <c r="J8" s="28"/>
      <c r="K8" s="28"/>
      <c r="L8" s="28"/>
      <c r="M8" s="28"/>
      <c r="N8" s="28"/>
      <c r="O8" s="28"/>
      <c r="P8" s="28"/>
      <c r="Q8" s="28"/>
      <c r="R8" s="28"/>
      <c r="Y8" s="146"/>
      <c r="AT8" s="147"/>
    </row>
    <row r="9" spans="1:242" ht="15.75" customHeight="1" x14ac:dyDescent="0.2">
      <c r="A9" s="852" t="s">
        <v>150</v>
      </c>
      <c r="B9" s="852"/>
      <c r="C9" s="852"/>
      <c r="D9" s="852"/>
      <c r="E9" s="852"/>
      <c r="F9" s="852"/>
      <c r="G9" s="852"/>
      <c r="H9" s="852"/>
      <c r="I9" s="68"/>
      <c r="J9" s="68"/>
      <c r="K9" s="68"/>
      <c r="L9" s="68"/>
      <c r="M9" s="820" t="s">
        <v>151</v>
      </c>
      <c r="N9" s="820"/>
      <c r="O9" s="820"/>
      <c r="P9" s="820"/>
      <c r="Q9" s="820"/>
      <c r="R9" s="820"/>
      <c r="S9" s="820"/>
      <c r="U9" s="820" t="s">
        <v>152</v>
      </c>
      <c r="V9" s="820"/>
      <c r="W9" s="820"/>
      <c r="X9" s="101"/>
      <c r="Y9" s="148"/>
      <c r="Z9" s="820" t="s">
        <v>205</v>
      </c>
      <c r="AA9" s="820"/>
      <c r="AB9" s="820"/>
      <c r="AC9" s="820"/>
      <c r="AD9" s="820"/>
      <c r="AE9" s="820"/>
      <c r="AF9" s="101"/>
      <c r="AG9" s="820" t="s">
        <v>154</v>
      </c>
      <c r="AH9" s="820"/>
      <c r="AI9" s="820"/>
      <c r="AJ9" s="820"/>
      <c r="AK9" s="820"/>
      <c r="AL9" s="820"/>
      <c r="AN9" s="820" t="s">
        <v>155</v>
      </c>
      <c r="AO9" s="820"/>
      <c r="AP9" s="820"/>
      <c r="AQ9" s="820"/>
      <c r="AR9" s="820"/>
      <c r="AS9" s="820"/>
      <c r="AT9" s="147"/>
    </row>
    <row r="10" spans="1:242" ht="13.5" customHeight="1" x14ac:dyDescent="0.2">
      <c r="B10" s="16"/>
      <c r="C10" s="6"/>
      <c r="D10" s="6"/>
      <c r="E10" s="33"/>
      <c r="F10" s="33"/>
      <c r="G10" s="33"/>
      <c r="H10" s="33"/>
      <c r="I10" s="33"/>
      <c r="J10" s="33"/>
      <c r="M10" s="820"/>
      <c r="N10" s="820"/>
      <c r="O10" s="820"/>
      <c r="P10" s="820"/>
      <c r="Q10" s="820"/>
      <c r="R10" s="820"/>
      <c r="S10" s="820"/>
      <c r="U10" s="820"/>
      <c r="V10" s="820"/>
      <c r="W10" s="820"/>
      <c r="Y10" s="146"/>
      <c r="Z10" s="820"/>
      <c r="AA10" s="820"/>
      <c r="AB10" s="820"/>
      <c r="AC10" s="820"/>
      <c r="AD10" s="820"/>
      <c r="AE10" s="820"/>
      <c r="AG10" s="820"/>
      <c r="AH10" s="820"/>
      <c r="AI10" s="820"/>
      <c r="AJ10" s="820"/>
      <c r="AK10" s="820"/>
      <c r="AL10" s="820"/>
      <c r="AN10" s="820"/>
      <c r="AO10" s="820"/>
      <c r="AP10" s="820"/>
      <c r="AQ10" s="820"/>
      <c r="AR10" s="820"/>
      <c r="AS10" s="820"/>
      <c r="AT10" s="147"/>
    </row>
    <row r="11" spans="1:242" x14ac:dyDescent="0.2">
      <c r="J11" s="48" t="s">
        <v>4</v>
      </c>
      <c r="K11" s="47">
        <v>4.4999999999999998E-2</v>
      </c>
      <c r="Y11" s="146"/>
      <c r="AT11" s="147"/>
    </row>
    <row r="12" spans="1:242" ht="12.75" customHeight="1" thickBot="1" x14ac:dyDescent="0.25">
      <c r="M12" s="873"/>
      <c r="N12" s="873"/>
      <c r="O12" s="873"/>
      <c r="P12" s="873"/>
      <c r="Q12" s="873"/>
      <c r="R12" s="873"/>
      <c r="Y12" s="146"/>
      <c r="AT12" s="147"/>
    </row>
    <row r="13" spans="1:242" ht="21.75" customHeight="1" x14ac:dyDescent="0.2">
      <c r="A13" s="862" t="s">
        <v>119</v>
      </c>
      <c r="B13" s="863"/>
      <c r="C13" s="866" t="s">
        <v>73</v>
      </c>
      <c r="D13" s="866" t="s">
        <v>74</v>
      </c>
      <c r="E13" s="868" t="s">
        <v>3</v>
      </c>
      <c r="F13" s="868" t="s">
        <v>82</v>
      </c>
      <c r="G13" s="870" t="s">
        <v>260</v>
      </c>
      <c r="H13" s="871"/>
      <c r="I13" s="871"/>
      <c r="J13" s="872"/>
      <c r="K13" s="857" t="s">
        <v>262</v>
      </c>
      <c r="L13" s="28"/>
      <c r="M13" s="834" t="s">
        <v>69</v>
      </c>
      <c r="N13" s="859"/>
      <c r="O13" s="822" t="s">
        <v>70</v>
      </c>
      <c r="P13" s="823"/>
      <c r="Q13" s="860" t="s">
        <v>71</v>
      </c>
      <c r="R13" s="861"/>
      <c r="S13" s="818" t="s">
        <v>141</v>
      </c>
      <c r="U13" s="853" t="s">
        <v>76</v>
      </c>
      <c r="V13" s="855" t="s">
        <v>77</v>
      </c>
      <c r="W13" s="821" t="s">
        <v>263</v>
      </c>
      <c r="Y13" s="146"/>
      <c r="Z13" s="828" t="s">
        <v>69</v>
      </c>
      <c r="AA13" s="829"/>
      <c r="AB13" s="830" t="s">
        <v>70</v>
      </c>
      <c r="AC13" s="831"/>
      <c r="AD13" s="832" t="s">
        <v>71</v>
      </c>
      <c r="AE13" s="833"/>
      <c r="AG13" s="834" t="s">
        <v>69</v>
      </c>
      <c r="AH13" s="835"/>
      <c r="AI13" s="822" t="s">
        <v>70</v>
      </c>
      <c r="AJ13" s="823"/>
      <c r="AK13" s="824" t="s">
        <v>71</v>
      </c>
      <c r="AL13" s="825"/>
      <c r="AN13" s="834" t="s">
        <v>69</v>
      </c>
      <c r="AO13" s="835"/>
      <c r="AP13" s="822" t="s">
        <v>70</v>
      </c>
      <c r="AQ13" s="823"/>
      <c r="AR13" s="824" t="s">
        <v>71</v>
      </c>
      <c r="AS13" s="825"/>
      <c r="AT13" s="147"/>
    </row>
    <row r="14" spans="1:242" ht="39" thickBot="1" x14ac:dyDescent="0.25">
      <c r="A14" s="864"/>
      <c r="B14" s="865"/>
      <c r="C14" s="867"/>
      <c r="D14" s="867"/>
      <c r="E14" s="869"/>
      <c r="F14" s="869"/>
      <c r="G14" s="86" t="s">
        <v>210</v>
      </c>
      <c r="H14" s="86" t="s">
        <v>117</v>
      </c>
      <c r="I14" s="87" t="s">
        <v>118</v>
      </c>
      <c r="J14" s="88" t="s">
        <v>261</v>
      </c>
      <c r="K14" s="858"/>
      <c r="L14" s="28"/>
      <c r="M14" s="127" t="s">
        <v>36</v>
      </c>
      <c r="N14" s="129" t="s">
        <v>37</v>
      </c>
      <c r="O14" s="137" t="s">
        <v>36</v>
      </c>
      <c r="P14" s="138" t="s">
        <v>37</v>
      </c>
      <c r="Q14" s="130" t="s">
        <v>36</v>
      </c>
      <c r="R14" s="566" t="s">
        <v>37</v>
      </c>
      <c r="S14" s="819"/>
      <c r="U14" s="854"/>
      <c r="V14" s="856"/>
      <c r="W14" s="821"/>
      <c r="Y14" s="146"/>
      <c r="Z14" s="127" t="s">
        <v>36</v>
      </c>
      <c r="AA14" s="129" t="s">
        <v>37</v>
      </c>
      <c r="AB14" s="137" t="s">
        <v>36</v>
      </c>
      <c r="AC14" s="138" t="s">
        <v>37</v>
      </c>
      <c r="AD14" s="130" t="s">
        <v>36</v>
      </c>
      <c r="AE14" s="128" t="s">
        <v>37</v>
      </c>
      <c r="AG14" s="149" t="s">
        <v>36</v>
      </c>
      <c r="AH14" s="150" t="s">
        <v>37</v>
      </c>
      <c r="AI14" s="151" t="s">
        <v>36</v>
      </c>
      <c r="AJ14" s="152" t="s">
        <v>37</v>
      </c>
      <c r="AK14" s="153" t="s">
        <v>36</v>
      </c>
      <c r="AL14" s="154" t="s">
        <v>37</v>
      </c>
      <c r="AN14" s="826" t="s">
        <v>142</v>
      </c>
      <c r="AO14" s="827"/>
      <c r="AP14" s="813" t="s">
        <v>142</v>
      </c>
      <c r="AQ14" s="814"/>
      <c r="AR14" s="815" t="s">
        <v>143</v>
      </c>
      <c r="AS14" s="816"/>
      <c r="AT14" s="147"/>
    </row>
    <row r="15" spans="1:242" ht="12.75" customHeight="1" thickBot="1" x14ac:dyDescent="0.25">
      <c r="A15" s="842" t="s">
        <v>138</v>
      </c>
      <c r="B15" s="845" t="s">
        <v>94</v>
      </c>
      <c r="C15" s="691" t="s">
        <v>320</v>
      </c>
      <c r="D15" s="349" t="s">
        <v>321</v>
      </c>
      <c r="E15" s="350" t="s">
        <v>322</v>
      </c>
      <c r="F15" s="692" t="s">
        <v>323</v>
      </c>
      <c r="G15" s="370">
        <v>11286000</v>
      </c>
      <c r="H15" s="370">
        <v>319000</v>
      </c>
      <c r="I15" s="694">
        <v>206000</v>
      </c>
      <c r="J15" s="92">
        <f>SUM(G15:I15)</f>
        <v>11811000</v>
      </c>
      <c r="K15" s="84">
        <f t="shared" ref="K15:K69" si="0">+J15*(1+$K$11)</f>
        <v>12342495</v>
      </c>
      <c r="L15" s="28"/>
      <c r="M15" s="695">
        <v>0.52</v>
      </c>
      <c r="N15" s="123">
        <f t="shared" ref="N15:N61" si="1">+$K15*M15</f>
        <v>6418097.4000000004</v>
      </c>
      <c r="O15" s="695">
        <v>0.24</v>
      </c>
      <c r="P15" s="134">
        <f t="shared" ref="P15:P61" si="2">+$K15*O15</f>
        <v>2962198.8</v>
      </c>
      <c r="Q15" s="697">
        <v>0.24</v>
      </c>
      <c r="R15" s="567">
        <f t="shared" ref="R15:R61" si="3">+$K15*Q15</f>
        <v>2962198.8</v>
      </c>
      <c r="S15" s="570">
        <f>+M15+O15+Q15</f>
        <v>1</v>
      </c>
      <c r="U15" s="105"/>
      <c r="V15" s="102" t="s">
        <v>11</v>
      </c>
      <c r="W15" s="108">
        <f>SUM(W16,W20)</f>
        <v>63175166</v>
      </c>
      <c r="Y15" s="146"/>
      <c r="Z15" s="139">
        <f t="shared" ref="Z15:AE15" si="4">+M62</f>
        <v>0.57549242979242976</v>
      </c>
      <c r="AA15" s="141">
        <f t="shared" si="4"/>
        <v>49253807.350000001</v>
      </c>
      <c r="AB15" s="139">
        <f t="shared" si="4"/>
        <v>0.2200261294261294</v>
      </c>
      <c r="AC15" s="142">
        <f t="shared" si="4"/>
        <v>18831046.299999997</v>
      </c>
      <c r="AD15" s="140">
        <f t="shared" si="4"/>
        <v>0.20448144078144076</v>
      </c>
      <c r="AE15" s="142">
        <f t="shared" si="4"/>
        <v>17500646.349999998</v>
      </c>
      <c r="AG15" s="161">
        <f>+Z15</f>
        <v>0.57549242979242976</v>
      </c>
      <c r="AH15" s="155">
        <f>+AG15*W80</f>
        <v>59346422.391082413</v>
      </c>
      <c r="AI15" s="162">
        <f>+AB15</f>
        <v>0.2200261294261294</v>
      </c>
      <c r="AJ15" s="155">
        <f>+AI15*W80</f>
        <v>22689722.641021974</v>
      </c>
      <c r="AK15" s="163">
        <f>+AD15</f>
        <v>0.20448144078144076</v>
      </c>
      <c r="AL15" s="156">
        <f>+AK15*W80</f>
        <v>21086709.967895601</v>
      </c>
      <c r="AN15" s="811">
        <f>+AH15+AA15</f>
        <v>108600229.74108241</v>
      </c>
      <c r="AO15" s="812"/>
      <c r="AP15" s="811">
        <f>+AJ15+AC15+K70</f>
        <v>41520768.941021971</v>
      </c>
      <c r="AQ15" s="812"/>
      <c r="AR15" s="811">
        <f>+AL15+AE15</f>
        <v>38587356.317895599</v>
      </c>
      <c r="AS15" s="817"/>
      <c r="AT15" s="147"/>
    </row>
    <row r="16" spans="1:242" x14ac:dyDescent="0.2">
      <c r="A16" s="843"/>
      <c r="B16" s="846"/>
      <c r="C16" s="693" t="s">
        <v>324</v>
      </c>
      <c r="D16" s="353" t="s">
        <v>325</v>
      </c>
      <c r="E16" s="354" t="s">
        <v>326</v>
      </c>
      <c r="F16" s="688" t="s">
        <v>323</v>
      </c>
      <c r="G16" s="371">
        <v>12595000</v>
      </c>
      <c r="H16" s="371">
        <v>319000</v>
      </c>
      <c r="I16" s="689">
        <v>175000</v>
      </c>
      <c r="J16" s="93">
        <f t="shared" ref="J16:J69" si="5">SUM(G16:I16)</f>
        <v>13089000</v>
      </c>
      <c r="K16" s="85">
        <f t="shared" si="0"/>
        <v>13678005</v>
      </c>
      <c r="L16" s="28"/>
      <c r="M16" s="696">
        <v>0.77</v>
      </c>
      <c r="N16" s="124">
        <f t="shared" si="1"/>
        <v>10532063.85</v>
      </c>
      <c r="O16" s="696">
        <v>0.12</v>
      </c>
      <c r="P16" s="122">
        <f t="shared" si="2"/>
        <v>1641360.5999999999</v>
      </c>
      <c r="Q16" s="698">
        <v>0.11</v>
      </c>
      <c r="R16" s="568">
        <f t="shared" si="3"/>
        <v>1504580.55</v>
      </c>
      <c r="S16" s="571">
        <f t="shared" ref="S16:S61" si="6">+M16+O16+Q16</f>
        <v>1</v>
      </c>
      <c r="U16" s="106"/>
      <c r="V16" s="103" t="s">
        <v>12</v>
      </c>
      <c r="W16" s="109">
        <f>SUM(W17:W19)</f>
        <v>32866953</v>
      </c>
      <c r="Y16" s="146"/>
      <c r="AT16" s="147"/>
    </row>
    <row r="17" spans="1:46" ht="12.75" customHeight="1" x14ac:dyDescent="0.2">
      <c r="A17" s="843"/>
      <c r="B17" s="846"/>
      <c r="C17" s="693" t="s">
        <v>327</v>
      </c>
      <c r="D17" s="353" t="s">
        <v>328</v>
      </c>
      <c r="E17" s="354" t="s">
        <v>329</v>
      </c>
      <c r="F17" s="688" t="s">
        <v>323</v>
      </c>
      <c r="G17" s="371">
        <v>14632000</v>
      </c>
      <c r="H17" s="371">
        <v>319000</v>
      </c>
      <c r="I17" s="689">
        <v>175000</v>
      </c>
      <c r="J17" s="93">
        <f t="shared" si="5"/>
        <v>15126000</v>
      </c>
      <c r="K17" s="85">
        <f t="shared" si="0"/>
        <v>15806669.999999998</v>
      </c>
      <c r="L17" s="28"/>
      <c r="M17" s="696">
        <v>0.47</v>
      </c>
      <c r="N17" s="124">
        <f t="shared" si="1"/>
        <v>7429134.8999999985</v>
      </c>
      <c r="O17" s="696">
        <v>0.35</v>
      </c>
      <c r="P17" s="122">
        <f t="shared" si="2"/>
        <v>5532334.4999999991</v>
      </c>
      <c r="Q17" s="698">
        <v>0.18</v>
      </c>
      <c r="R17" s="568">
        <f t="shared" si="3"/>
        <v>2845200.5999999996</v>
      </c>
      <c r="S17" s="571">
        <f t="shared" si="6"/>
        <v>1</v>
      </c>
      <c r="U17" s="107">
        <v>53103050000000</v>
      </c>
      <c r="V17" s="104" t="s">
        <v>13</v>
      </c>
      <c r="W17" s="402">
        <v>0</v>
      </c>
      <c r="Y17" s="146"/>
      <c r="AT17" s="147"/>
    </row>
    <row r="18" spans="1:46" ht="13.5" customHeight="1" thickBot="1" x14ac:dyDescent="0.25">
      <c r="A18" s="843"/>
      <c r="B18" s="846"/>
      <c r="C18" s="693" t="s">
        <v>330</v>
      </c>
      <c r="D18" s="353" t="s">
        <v>331</v>
      </c>
      <c r="E18" s="354" t="s">
        <v>332</v>
      </c>
      <c r="F18" s="688" t="s">
        <v>323</v>
      </c>
      <c r="G18" s="371">
        <v>16685000</v>
      </c>
      <c r="H18" s="371">
        <v>160000</v>
      </c>
      <c r="I18" s="689">
        <v>175000</v>
      </c>
      <c r="J18" s="93">
        <f t="shared" si="5"/>
        <v>17020000</v>
      </c>
      <c r="K18" s="85">
        <f t="shared" si="0"/>
        <v>17785900</v>
      </c>
      <c r="L18" s="28"/>
      <c r="M18" s="696">
        <v>0.61</v>
      </c>
      <c r="N18" s="124">
        <f t="shared" si="1"/>
        <v>10849399</v>
      </c>
      <c r="O18" s="696">
        <v>0.08</v>
      </c>
      <c r="P18" s="122">
        <f t="shared" si="2"/>
        <v>1422872</v>
      </c>
      <c r="Q18" s="698">
        <v>0.31</v>
      </c>
      <c r="R18" s="568">
        <f t="shared" si="3"/>
        <v>5513629</v>
      </c>
      <c r="S18" s="571">
        <f t="shared" si="6"/>
        <v>1</v>
      </c>
      <c r="U18" s="107">
        <v>53103060000000</v>
      </c>
      <c r="V18" s="104" t="s">
        <v>14</v>
      </c>
      <c r="W18" s="402">
        <v>0</v>
      </c>
      <c r="Y18" s="157"/>
      <c r="Z18" s="158"/>
      <c r="AA18" s="158"/>
      <c r="AB18" s="158"/>
      <c r="AC18" s="158"/>
      <c r="AD18" s="158"/>
      <c r="AE18" s="158"/>
      <c r="AF18" s="158"/>
      <c r="AG18" s="158"/>
      <c r="AH18" s="158"/>
      <c r="AI18" s="158"/>
      <c r="AJ18" s="158"/>
      <c r="AK18" s="158"/>
      <c r="AL18" s="158"/>
      <c r="AM18" s="158"/>
      <c r="AN18" s="158"/>
      <c r="AO18" s="158"/>
      <c r="AP18" s="158"/>
      <c r="AQ18" s="158"/>
      <c r="AR18" s="158"/>
      <c r="AS18" s="158"/>
      <c r="AT18" s="159"/>
    </row>
    <row r="19" spans="1:46" x14ac:dyDescent="0.2">
      <c r="A19" s="843"/>
      <c r="B19" s="846"/>
      <c r="C19" s="693"/>
      <c r="D19" s="353"/>
      <c r="E19" s="354"/>
      <c r="F19" s="688"/>
      <c r="G19" s="371">
        <v>0</v>
      </c>
      <c r="H19" s="371">
        <v>0</v>
      </c>
      <c r="I19" s="689">
        <v>0</v>
      </c>
      <c r="J19" s="93">
        <f t="shared" si="5"/>
        <v>0</v>
      </c>
      <c r="K19" s="85">
        <f t="shared" si="0"/>
        <v>0</v>
      </c>
      <c r="L19" s="28"/>
      <c r="M19" s="696">
        <v>0.77</v>
      </c>
      <c r="N19" s="124">
        <f t="shared" si="1"/>
        <v>0</v>
      </c>
      <c r="O19" s="696">
        <v>0.12</v>
      </c>
      <c r="P19" s="122">
        <f t="shared" si="2"/>
        <v>0</v>
      </c>
      <c r="Q19" s="698">
        <v>0.11</v>
      </c>
      <c r="R19" s="568">
        <f t="shared" si="3"/>
        <v>0</v>
      </c>
      <c r="S19" s="571">
        <f t="shared" si="6"/>
        <v>1</v>
      </c>
      <c r="U19" s="107">
        <v>53103080010000</v>
      </c>
      <c r="V19" s="104" t="s">
        <v>15</v>
      </c>
      <c r="W19" s="402">
        <v>32866953</v>
      </c>
    </row>
    <row r="20" spans="1:46" x14ac:dyDescent="0.2">
      <c r="A20" s="843"/>
      <c r="B20" s="846"/>
      <c r="C20" s="693"/>
      <c r="D20" s="353"/>
      <c r="E20" s="354"/>
      <c r="F20" s="688"/>
      <c r="G20" s="371">
        <v>0</v>
      </c>
      <c r="H20" s="371">
        <v>0</v>
      </c>
      <c r="I20" s="689">
        <v>0</v>
      </c>
      <c r="J20" s="93">
        <f t="shared" si="5"/>
        <v>0</v>
      </c>
      <c r="K20" s="85">
        <f t="shared" si="0"/>
        <v>0</v>
      </c>
      <c r="L20" s="28"/>
      <c r="M20" s="696">
        <v>0</v>
      </c>
      <c r="N20" s="124">
        <f t="shared" si="1"/>
        <v>0</v>
      </c>
      <c r="O20" s="696">
        <v>0</v>
      </c>
      <c r="P20" s="122">
        <f t="shared" si="2"/>
        <v>0</v>
      </c>
      <c r="Q20" s="698">
        <v>0</v>
      </c>
      <c r="R20" s="568">
        <f t="shared" si="3"/>
        <v>0</v>
      </c>
      <c r="S20" s="571">
        <f t="shared" si="6"/>
        <v>0</v>
      </c>
      <c r="U20" s="106"/>
      <c r="V20" s="103" t="s">
        <v>16</v>
      </c>
      <c r="W20" s="160">
        <f>SUM(W21:W39)</f>
        <v>30308213</v>
      </c>
    </row>
    <row r="21" spans="1:46" x14ac:dyDescent="0.2">
      <c r="A21" s="843"/>
      <c r="B21" s="846"/>
      <c r="C21" s="693"/>
      <c r="D21" s="353"/>
      <c r="E21" s="354"/>
      <c r="F21" s="688"/>
      <c r="G21" s="371">
        <v>0</v>
      </c>
      <c r="H21" s="371">
        <v>0</v>
      </c>
      <c r="I21" s="689">
        <v>0</v>
      </c>
      <c r="J21" s="93">
        <f t="shared" si="5"/>
        <v>0</v>
      </c>
      <c r="K21" s="85">
        <f t="shared" si="0"/>
        <v>0</v>
      </c>
      <c r="L21" s="28"/>
      <c r="M21" s="696">
        <v>0</v>
      </c>
      <c r="N21" s="124">
        <f t="shared" si="1"/>
        <v>0</v>
      </c>
      <c r="O21" s="696">
        <v>0</v>
      </c>
      <c r="P21" s="122">
        <f t="shared" si="2"/>
        <v>0</v>
      </c>
      <c r="Q21" s="698">
        <v>0</v>
      </c>
      <c r="R21" s="568">
        <f t="shared" si="3"/>
        <v>0</v>
      </c>
      <c r="S21" s="571">
        <f t="shared" si="6"/>
        <v>0</v>
      </c>
      <c r="U21" s="107">
        <v>53201010100000</v>
      </c>
      <c r="V21" s="104" t="s">
        <v>17</v>
      </c>
      <c r="W21" s="402">
        <v>5772900</v>
      </c>
    </row>
    <row r="22" spans="1:46" x14ac:dyDescent="0.2">
      <c r="A22" s="843"/>
      <c r="B22" s="846"/>
      <c r="C22" s="693"/>
      <c r="D22" s="353"/>
      <c r="E22" s="354"/>
      <c r="F22" s="688"/>
      <c r="G22" s="371">
        <v>0</v>
      </c>
      <c r="H22" s="371">
        <v>0</v>
      </c>
      <c r="I22" s="689">
        <v>0</v>
      </c>
      <c r="J22" s="93">
        <f t="shared" si="5"/>
        <v>0</v>
      </c>
      <c r="K22" s="85">
        <f t="shared" si="0"/>
        <v>0</v>
      </c>
      <c r="L22" s="28"/>
      <c r="M22" s="696">
        <v>0</v>
      </c>
      <c r="N22" s="124">
        <f t="shared" si="1"/>
        <v>0</v>
      </c>
      <c r="O22" s="696">
        <v>0</v>
      </c>
      <c r="P22" s="122">
        <f t="shared" si="2"/>
        <v>0</v>
      </c>
      <c r="Q22" s="698">
        <v>0</v>
      </c>
      <c r="R22" s="568">
        <f t="shared" si="3"/>
        <v>0</v>
      </c>
      <c r="S22" s="571">
        <f t="shared" si="6"/>
        <v>0</v>
      </c>
      <c r="U22" s="107">
        <v>53202010100000</v>
      </c>
      <c r="V22" s="104" t="s">
        <v>18</v>
      </c>
      <c r="W22" s="402">
        <v>210000</v>
      </c>
    </row>
    <row r="23" spans="1:46" x14ac:dyDescent="0.2">
      <c r="A23" s="843"/>
      <c r="B23" s="846"/>
      <c r="C23" s="687"/>
      <c r="D23" s="353"/>
      <c r="E23" s="354"/>
      <c r="F23" s="688"/>
      <c r="G23" s="371">
        <v>0</v>
      </c>
      <c r="H23" s="371">
        <v>0</v>
      </c>
      <c r="I23" s="689">
        <v>0</v>
      </c>
      <c r="J23" s="93">
        <f t="shared" si="5"/>
        <v>0</v>
      </c>
      <c r="K23" s="85">
        <f t="shared" si="0"/>
        <v>0</v>
      </c>
      <c r="L23" s="28"/>
      <c r="M23" s="696">
        <v>0</v>
      </c>
      <c r="N23" s="124">
        <f t="shared" si="1"/>
        <v>0</v>
      </c>
      <c r="O23" s="696">
        <v>0</v>
      </c>
      <c r="P23" s="122">
        <f t="shared" si="2"/>
        <v>0</v>
      </c>
      <c r="Q23" s="698">
        <v>0</v>
      </c>
      <c r="R23" s="568">
        <f t="shared" si="3"/>
        <v>0</v>
      </c>
      <c r="S23" s="571">
        <f t="shared" si="6"/>
        <v>0</v>
      </c>
      <c r="U23" s="107">
        <v>53203010100000</v>
      </c>
      <c r="V23" s="104" t="s">
        <v>19</v>
      </c>
      <c r="W23" s="402">
        <v>0</v>
      </c>
    </row>
    <row r="24" spans="1:46" ht="13.5" thickBot="1" x14ac:dyDescent="0.25">
      <c r="A24" s="843"/>
      <c r="B24" s="847"/>
      <c r="C24" s="356"/>
      <c r="D24" s="165"/>
      <c r="E24" s="357"/>
      <c r="F24" s="358"/>
      <c r="G24" s="665">
        <v>0</v>
      </c>
      <c r="H24" s="665">
        <v>0</v>
      </c>
      <c r="I24" s="690">
        <v>0</v>
      </c>
      <c r="J24" s="94">
        <f t="shared" si="5"/>
        <v>0</v>
      </c>
      <c r="K24" s="83">
        <f t="shared" si="0"/>
        <v>0</v>
      </c>
      <c r="L24" s="28"/>
      <c r="M24" s="126">
        <v>0</v>
      </c>
      <c r="N24" s="125">
        <f t="shared" si="1"/>
        <v>0</v>
      </c>
      <c r="O24" s="126">
        <v>0</v>
      </c>
      <c r="P24" s="135">
        <f t="shared" si="2"/>
        <v>0</v>
      </c>
      <c r="Q24" s="133">
        <v>0</v>
      </c>
      <c r="R24" s="125">
        <f t="shared" si="3"/>
        <v>0</v>
      </c>
      <c r="S24" s="572">
        <f t="shared" si="6"/>
        <v>0</v>
      </c>
      <c r="U24" s="107">
        <v>53203030000000</v>
      </c>
      <c r="V24" s="104" t="s">
        <v>20</v>
      </c>
      <c r="W24" s="402">
        <v>0</v>
      </c>
    </row>
    <row r="25" spans="1:46" ht="12.75" customHeight="1" x14ac:dyDescent="0.2">
      <c r="A25" s="843"/>
      <c r="B25" s="845" t="s">
        <v>93</v>
      </c>
      <c r="C25" s="691" t="s">
        <v>333</v>
      </c>
      <c r="D25" s="349" t="s">
        <v>334</v>
      </c>
      <c r="E25" s="350" t="s">
        <v>335</v>
      </c>
      <c r="F25" s="692" t="s">
        <v>336</v>
      </c>
      <c r="G25" s="370">
        <v>24514000</v>
      </c>
      <c r="H25" s="370">
        <v>160000</v>
      </c>
      <c r="I25" s="694">
        <v>180000</v>
      </c>
      <c r="J25" s="92">
        <f t="shared" si="5"/>
        <v>24854000</v>
      </c>
      <c r="K25" s="84">
        <f t="shared" si="0"/>
        <v>25972430</v>
      </c>
      <c r="L25" s="28"/>
      <c r="M25" s="695">
        <v>0.54</v>
      </c>
      <c r="N25" s="123">
        <f t="shared" si="1"/>
        <v>14025112.200000001</v>
      </c>
      <c r="O25" s="695">
        <v>0.28000000000000003</v>
      </c>
      <c r="P25" s="134">
        <f t="shared" si="2"/>
        <v>7272280.4000000004</v>
      </c>
      <c r="Q25" s="697">
        <v>0.18</v>
      </c>
      <c r="R25" s="567">
        <f t="shared" si="3"/>
        <v>4675037.3999999994</v>
      </c>
      <c r="S25" s="570">
        <f t="shared" si="6"/>
        <v>1</v>
      </c>
      <c r="U25" s="107">
        <v>53204030000000</v>
      </c>
      <c r="V25" s="104" t="s">
        <v>21</v>
      </c>
      <c r="W25" s="402">
        <v>0</v>
      </c>
    </row>
    <row r="26" spans="1:46" ht="12.75" customHeight="1" x14ac:dyDescent="0.2">
      <c r="A26" s="843"/>
      <c r="B26" s="846"/>
      <c r="C26" s="352"/>
      <c r="D26" s="353"/>
      <c r="E26" s="354"/>
      <c r="F26" s="355"/>
      <c r="G26" s="70">
        <v>0</v>
      </c>
      <c r="H26" s="70">
        <v>0</v>
      </c>
      <c r="I26" s="90">
        <v>0</v>
      </c>
      <c r="J26" s="93">
        <f t="shared" si="5"/>
        <v>0</v>
      </c>
      <c r="K26" s="85">
        <f t="shared" si="0"/>
        <v>0</v>
      </c>
      <c r="L26" s="28"/>
      <c r="M26" s="121">
        <v>0</v>
      </c>
      <c r="N26" s="124">
        <f t="shared" si="1"/>
        <v>0</v>
      </c>
      <c r="O26" s="121">
        <v>0</v>
      </c>
      <c r="P26" s="122">
        <f t="shared" si="2"/>
        <v>0</v>
      </c>
      <c r="Q26" s="132">
        <v>0</v>
      </c>
      <c r="R26" s="568">
        <f t="shared" si="3"/>
        <v>0</v>
      </c>
      <c r="S26" s="571">
        <f t="shared" si="6"/>
        <v>0</v>
      </c>
      <c r="U26" s="107">
        <v>53204100100001</v>
      </c>
      <c r="V26" s="104" t="s">
        <v>22</v>
      </c>
      <c r="W26" s="402">
        <v>1298850</v>
      </c>
    </row>
    <row r="27" spans="1:46" ht="12.75" customHeight="1" x14ac:dyDescent="0.2">
      <c r="A27" s="843"/>
      <c r="B27" s="846"/>
      <c r="C27" s="352"/>
      <c r="D27" s="353"/>
      <c r="E27" s="354"/>
      <c r="F27" s="355"/>
      <c r="G27" s="70">
        <v>0</v>
      </c>
      <c r="H27" s="70">
        <v>0</v>
      </c>
      <c r="I27" s="90">
        <v>0</v>
      </c>
      <c r="J27" s="93">
        <f t="shared" si="5"/>
        <v>0</v>
      </c>
      <c r="K27" s="85">
        <f t="shared" si="0"/>
        <v>0</v>
      </c>
      <c r="L27" s="28"/>
      <c r="M27" s="121">
        <v>0</v>
      </c>
      <c r="N27" s="124">
        <f t="shared" si="1"/>
        <v>0</v>
      </c>
      <c r="O27" s="121">
        <v>0</v>
      </c>
      <c r="P27" s="122">
        <f t="shared" si="2"/>
        <v>0</v>
      </c>
      <c r="Q27" s="132">
        <v>0</v>
      </c>
      <c r="R27" s="568">
        <f t="shared" si="3"/>
        <v>0</v>
      </c>
      <c r="S27" s="571">
        <f t="shared" si="6"/>
        <v>0</v>
      </c>
      <c r="U27" s="107">
        <v>53204130100000</v>
      </c>
      <c r="V27" s="104" t="s">
        <v>23</v>
      </c>
      <c r="W27" s="402">
        <v>0</v>
      </c>
    </row>
    <row r="28" spans="1:46" ht="12.75" customHeight="1" x14ac:dyDescent="0.2">
      <c r="A28" s="843"/>
      <c r="B28" s="846"/>
      <c r="C28" s="352"/>
      <c r="D28" s="353"/>
      <c r="E28" s="354"/>
      <c r="F28" s="355"/>
      <c r="G28" s="70">
        <v>0</v>
      </c>
      <c r="H28" s="70">
        <v>0</v>
      </c>
      <c r="I28" s="90">
        <v>0</v>
      </c>
      <c r="J28" s="93">
        <f t="shared" si="5"/>
        <v>0</v>
      </c>
      <c r="K28" s="85">
        <f t="shared" si="0"/>
        <v>0</v>
      </c>
      <c r="L28" s="28"/>
      <c r="M28" s="121">
        <v>0</v>
      </c>
      <c r="N28" s="124">
        <f t="shared" si="1"/>
        <v>0</v>
      </c>
      <c r="O28" s="121">
        <v>0</v>
      </c>
      <c r="P28" s="122">
        <f t="shared" si="2"/>
        <v>0</v>
      </c>
      <c r="Q28" s="132">
        <v>0</v>
      </c>
      <c r="R28" s="568">
        <f t="shared" si="3"/>
        <v>0</v>
      </c>
      <c r="S28" s="571">
        <f t="shared" si="6"/>
        <v>0</v>
      </c>
      <c r="U28" s="107">
        <v>53205010100000</v>
      </c>
      <c r="V28" s="104" t="s">
        <v>24</v>
      </c>
      <c r="W28" s="402">
        <v>2077784</v>
      </c>
    </row>
    <row r="29" spans="1:46" ht="12.75" customHeight="1" x14ac:dyDescent="0.2">
      <c r="A29" s="843"/>
      <c r="B29" s="846"/>
      <c r="C29" s="352"/>
      <c r="D29" s="353"/>
      <c r="E29" s="354"/>
      <c r="F29" s="355"/>
      <c r="G29" s="70">
        <v>0</v>
      </c>
      <c r="H29" s="70">
        <v>0</v>
      </c>
      <c r="I29" s="90">
        <v>0</v>
      </c>
      <c r="J29" s="93">
        <f t="shared" si="5"/>
        <v>0</v>
      </c>
      <c r="K29" s="85">
        <f t="shared" si="0"/>
        <v>0</v>
      </c>
      <c r="L29" s="28"/>
      <c r="M29" s="121">
        <v>0</v>
      </c>
      <c r="N29" s="124">
        <f t="shared" si="1"/>
        <v>0</v>
      </c>
      <c r="O29" s="121">
        <v>0</v>
      </c>
      <c r="P29" s="122">
        <f t="shared" si="2"/>
        <v>0</v>
      </c>
      <c r="Q29" s="132">
        <v>0</v>
      </c>
      <c r="R29" s="568">
        <f t="shared" si="3"/>
        <v>0</v>
      </c>
      <c r="S29" s="571">
        <f t="shared" si="6"/>
        <v>0</v>
      </c>
      <c r="U29" s="107">
        <v>53205020100000</v>
      </c>
      <c r="V29" s="104" t="s">
        <v>25</v>
      </c>
      <c r="W29" s="402">
        <v>3385582</v>
      </c>
    </row>
    <row r="30" spans="1:46" ht="12.75" customHeight="1" x14ac:dyDescent="0.2">
      <c r="A30" s="843"/>
      <c r="B30" s="846"/>
      <c r="C30" s="352"/>
      <c r="D30" s="353"/>
      <c r="E30" s="354"/>
      <c r="F30" s="355"/>
      <c r="G30" s="70">
        <v>0</v>
      </c>
      <c r="H30" s="70">
        <v>0</v>
      </c>
      <c r="I30" s="90">
        <v>0</v>
      </c>
      <c r="J30" s="93">
        <f t="shared" si="5"/>
        <v>0</v>
      </c>
      <c r="K30" s="85">
        <f t="shared" si="0"/>
        <v>0</v>
      </c>
      <c r="L30" s="28"/>
      <c r="M30" s="121">
        <v>0</v>
      </c>
      <c r="N30" s="124">
        <f t="shared" si="1"/>
        <v>0</v>
      </c>
      <c r="O30" s="121">
        <v>0</v>
      </c>
      <c r="P30" s="122">
        <f t="shared" si="2"/>
        <v>0</v>
      </c>
      <c r="Q30" s="132">
        <v>0</v>
      </c>
      <c r="R30" s="568">
        <f t="shared" si="3"/>
        <v>0</v>
      </c>
      <c r="S30" s="571">
        <f t="shared" si="6"/>
        <v>0</v>
      </c>
      <c r="U30" s="107">
        <v>53205030100000</v>
      </c>
      <c r="V30" s="104" t="s">
        <v>26</v>
      </c>
      <c r="W30" s="402">
        <v>830575</v>
      </c>
    </row>
    <row r="31" spans="1:46" ht="12.75" customHeight="1" x14ac:dyDescent="0.2">
      <c r="A31" s="843"/>
      <c r="B31" s="846"/>
      <c r="C31" s="352"/>
      <c r="D31" s="353"/>
      <c r="E31" s="354"/>
      <c r="F31" s="355"/>
      <c r="G31" s="70">
        <v>0</v>
      </c>
      <c r="H31" s="70">
        <v>0</v>
      </c>
      <c r="I31" s="90">
        <v>0</v>
      </c>
      <c r="J31" s="93">
        <f t="shared" si="5"/>
        <v>0</v>
      </c>
      <c r="K31" s="85">
        <f t="shared" si="0"/>
        <v>0</v>
      </c>
      <c r="L31" s="28"/>
      <c r="M31" s="121">
        <v>0</v>
      </c>
      <c r="N31" s="124">
        <f t="shared" si="1"/>
        <v>0</v>
      </c>
      <c r="O31" s="121">
        <v>0</v>
      </c>
      <c r="P31" s="122">
        <f t="shared" si="2"/>
        <v>0</v>
      </c>
      <c r="Q31" s="132">
        <v>0</v>
      </c>
      <c r="R31" s="568">
        <f t="shared" si="3"/>
        <v>0</v>
      </c>
      <c r="S31" s="571">
        <f t="shared" si="6"/>
        <v>0</v>
      </c>
      <c r="U31" s="107">
        <v>53205050100000</v>
      </c>
      <c r="V31" s="104" t="s">
        <v>27</v>
      </c>
      <c r="W31" s="402">
        <v>525000</v>
      </c>
    </row>
    <row r="32" spans="1:46" ht="12.75" customHeight="1" x14ac:dyDescent="0.2">
      <c r="A32" s="843"/>
      <c r="B32" s="846"/>
      <c r="C32" s="352"/>
      <c r="D32" s="353"/>
      <c r="E32" s="354"/>
      <c r="F32" s="355"/>
      <c r="G32" s="70">
        <v>0</v>
      </c>
      <c r="H32" s="70">
        <v>0</v>
      </c>
      <c r="I32" s="90">
        <v>0</v>
      </c>
      <c r="J32" s="93">
        <f t="shared" si="5"/>
        <v>0</v>
      </c>
      <c r="K32" s="85">
        <f t="shared" si="0"/>
        <v>0</v>
      </c>
      <c r="L32" s="28"/>
      <c r="M32" s="121">
        <v>0</v>
      </c>
      <c r="N32" s="124">
        <f t="shared" si="1"/>
        <v>0</v>
      </c>
      <c r="O32" s="121">
        <v>0</v>
      </c>
      <c r="P32" s="122">
        <f t="shared" si="2"/>
        <v>0</v>
      </c>
      <c r="Q32" s="132">
        <v>0</v>
      </c>
      <c r="R32" s="568">
        <f t="shared" si="3"/>
        <v>0</v>
      </c>
      <c r="S32" s="571">
        <f t="shared" si="6"/>
        <v>0</v>
      </c>
      <c r="U32" s="107">
        <v>53205060100000</v>
      </c>
      <c r="V32" s="104" t="s">
        <v>28</v>
      </c>
      <c r="W32" s="402">
        <v>315000</v>
      </c>
    </row>
    <row r="33" spans="1:23" ht="12.75" customHeight="1" x14ac:dyDescent="0.2">
      <c r="A33" s="843"/>
      <c r="B33" s="846"/>
      <c r="C33" s="352"/>
      <c r="D33" s="353"/>
      <c r="E33" s="354"/>
      <c r="F33" s="355"/>
      <c r="G33" s="70">
        <v>0</v>
      </c>
      <c r="H33" s="70">
        <v>0</v>
      </c>
      <c r="I33" s="90">
        <v>0</v>
      </c>
      <c r="J33" s="93">
        <f t="shared" si="5"/>
        <v>0</v>
      </c>
      <c r="K33" s="85">
        <f t="shared" si="0"/>
        <v>0</v>
      </c>
      <c r="L33" s="28"/>
      <c r="M33" s="121">
        <v>0</v>
      </c>
      <c r="N33" s="124">
        <f t="shared" si="1"/>
        <v>0</v>
      </c>
      <c r="O33" s="121">
        <v>0</v>
      </c>
      <c r="P33" s="122">
        <f t="shared" si="2"/>
        <v>0</v>
      </c>
      <c r="Q33" s="132">
        <v>0</v>
      </c>
      <c r="R33" s="568">
        <f t="shared" si="3"/>
        <v>0</v>
      </c>
      <c r="S33" s="571">
        <f t="shared" si="6"/>
        <v>0</v>
      </c>
      <c r="U33" s="107">
        <v>53205070100000</v>
      </c>
      <c r="V33" s="104" t="s">
        <v>29</v>
      </c>
      <c r="W33" s="402">
        <v>176400</v>
      </c>
    </row>
    <row r="34" spans="1:23" ht="12.75" customHeight="1" thickBot="1" x14ac:dyDescent="0.25">
      <c r="A34" s="843"/>
      <c r="B34" s="847"/>
      <c r="C34" s="356"/>
      <c r="D34" s="165"/>
      <c r="E34" s="357"/>
      <c r="F34" s="358"/>
      <c r="G34" s="74">
        <v>0</v>
      </c>
      <c r="H34" s="74">
        <v>0</v>
      </c>
      <c r="I34" s="91">
        <v>0</v>
      </c>
      <c r="J34" s="94">
        <f t="shared" si="5"/>
        <v>0</v>
      </c>
      <c r="K34" s="83">
        <f t="shared" si="0"/>
        <v>0</v>
      </c>
      <c r="L34" s="28"/>
      <c r="M34" s="126">
        <v>0</v>
      </c>
      <c r="N34" s="125">
        <f t="shared" si="1"/>
        <v>0</v>
      </c>
      <c r="O34" s="126">
        <v>0</v>
      </c>
      <c r="P34" s="135">
        <f t="shared" si="2"/>
        <v>0</v>
      </c>
      <c r="Q34" s="133">
        <v>0</v>
      </c>
      <c r="R34" s="125">
        <f t="shared" si="3"/>
        <v>0</v>
      </c>
      <c r="S34" s="572">
        <f t="shared" si="6"/>
        <v>0</v>
      </c>
      <c r="U34" s="107">
        <v>53208010100000</v>
      </c>
      <c r="V34" s="104" t="s">
        <v>30</v>
      </c>
      <c r="W34" s="402">
        <v>4926038</v>
      </c>
    </row>
    <row r="35" spans="1:23" ht="12.75" customHeight="1" x14ac:dyDescent="0.2">
      <c r="A35" s="843"/>
      <c r="B35" s="845" t="s">
        <v>92</v>
      </c>
      <c r="C35" s="348" t="s">
        <v>225</v>
      </c>
      <c r="D35" s="349" t="s">
        <v>225</v>
      </c>
      <c r="E35" s="350" t="s">
        <v>226</v>
      </c>
      <c r="F35" s="351"/>
      <c r="G35" s="69">
        <v>0</v>
      </c>
      <c r="H35" s="69">
        <v>0</v>
      </c>
      <c r="I35" s="89">
        <v>0</v>
      </c>
      <c r="J35" s="92">
        <f t="shared" si="5"/>
        <v>0</v>
      </c>
      <c r="K35" s="84">
        <f t="shared" si="0"/>
        <v>0</v>
      </c>
      <c r="L35" s="28"/>
      <c r="M35" s="114">
        <v>0</v>
      </c>
      <c r="N35" s="123">
        <f t="shared" si="1"/>
        <v>0</v>
      </c>
      <c r="O35" s="114">
        <v>0</v>
      </c>
      <c r="P35" s="134">
        <f t="shared" si="2"/>
        <v>0</v>
      </c>
      <c r="Q35" s="131">
        <v>0</v>
      </c>
      <c r="R35" s="567">
        <f t="shared" si="3"/>
        <v>0</v>
      </c>
      <c r="S35" s="570">
        <f t="shared" si="6"/>
        <v>0</v>
      </c>
      <c r="U35" s="107">
        <v>53208070100001</v>
      </c>
      <c r="V35" s="104" t="s">
        <v>31</v>
      </c>
      <c r="W35" s="402">
        <v>1386000</v>
      </c>
    </row>
    <row r="36" spans="1:23" ht="12.75" customHeight="1" x14ac:dyDescent="0.2">
      <c r="A36" s="843"/>
      <c r="B36" s="846"/>
      <c r="C36" s="352"/>
      <c r="D36" s="353"/>
      <c r="E36" s="354"/>
      <c r="F36" s="355"/>
      <c r="G36" s="70">
        <v>0</v>
      </c>
      <c r="H36" s="70">
        <v>0</v>
      </c>
      <c r="I36" s="90">
        <v>0</v>
      </c>
      <c r="J36" s="93">
        <f t="shared" si="5"/>
        <v>0</v>
      </c>
      <c r="K36" s="85">
        <f t="shared" si="0"/>
        <v>0</v>
      </c>
      <c r="L36" s="28"/>
      <c r="M36" s="121">
        <v>0</v>
      </c>
      <c r="N36" s="124">
        <f t="shared" si="1"/>
        <v>0</v>
      </c>
      <c r="O36" s="121">
        <v>0</v>
      </c>
      <c r="P36" s="122">
        <f t="shared" si="2"/>
        <v>0</v>
      </c>
      <c r="Q36" s="132">
        <v>0</v>
      </c>
      <c r="R36" s="568">
        <f t="shared" si="3"/>
        <v>0</v>
      </c>
      <c r="S36" s="571">
        <f t="shared" si="6"/>
        <v>0</v>
      </c>
      <c r="U36" s="107">
        <v>53208100100001</v>
      </c>
      <c r="V36" s="104" t="s">
        <v>131</v>
      </c>
      <c r="W36" s="402">
        <v>0</v>
      </c>
    </row>
    <row r="37" spans="1:23" ht="12.75" customHeight="1" x14ac:dyDescent="0.2">
      <c r="A37" s="843"/>
      <c r="B37" s="846"/>
      <c r="C37" s="352"/>
      <c r="D37" s="353"/>
      <c r="E37" s="354"/>
      <c r="F37" s="355"/>
      <c r="G37" s="70">
        <v>0</v>
      </c>
      <c r="H37" s="70">
        <v>0</v>
      </c>
      <c r="I37" s="90">
        <v>0</v>
      </c>
      <c r="J37" s="93">
        <f t="shared" si="5"/>
        <v>0</v>
      </c>
      <c r="K37" s="85">
        <f t="shared" si="0"/>
        <v>0</v>
      </c>
      <c r="L37" s="28"/>
      <c r="M37" s="121">
        <v>0</v>
      </c>
      <c r="N37" s="124">
        <f t="shared" si="1"/>
        <v>0</v>
      </c>
      <c r="O37" s="121">
        <v>0</v>
      </c>
      <c r="P37" s="122">
        <f t="shared" si="2"/>
        <v>0</v>
      </c>
      <c r="Q37" s="132">
        <v>0</v>
      </c>
      <c r="R37" s="568">
        <f t="shared" si="3"/>
        <v>0</v>
      </c>
      <c r="S37" s="571">
        <f t="shared" si="6"/>
        <v>0</v>
      </c>
      <c r="U37" s="107">
        <v>53211030000000</v>
      </c>
      <c r="V37" s="104" t="s">
        <v>32</v>
      </c>
      <c r="W37" s="402">
        <v>0</v>
      </c>
    </row>
    <row r="38" spans="1:23" ht="12.75" customHeight="1" x14ac:dyDescent="0.2">
      <c r="A38" s="843"/>
      <c r="B38" s="846"/>
      <c r="C38" s="352"/>
      <c r="D38" s="353"/>
      <c r="E38" s="354"/>
      <c r="F38" s="355"/>
      <c r="G38" s="70">
        <v>0</v>
      </c>
      <c r="H38" s="70">
        <v>0</v>
      </c>
      <c r="I38" s="90">
        <v>0</v>
      </c>
      <c r="J38" s="93">
        <f t="shared" si="5"/>
        <v>0</v>
      </c>
      <c r="K38" s="85">
        <f t="shared" si="0"/>
        <v>0</v>
      </c>
      <c r="L38" s="28"/>
      <c r="M38" s="121">
        <v>0</v>
      </c>
      <c r="N38" s="124">
        <f t="shared" si="1"/>
        <v>0</v>
      </c>
      <c r="O38" s="121">
        <v>0</v>
      </c>
      <c r="P38" s="122">
        <f t="shared" si="2"/>
        <v>0</v>
      </c>
      <c r="Q38" s="132">
        <v>0</v>
      </c>
      <c r="R38" s="568">
        <f t="shared" si="3"/>
        <v>0</v>
      </c>
      <c r="S38" s="571">
        <f t="shared" si="6"/>
        <v>0</v>
      </c>
      <c r="U38" s="107">
        <v>53212020100000</v>
      </c>
      <c r="V38" s="104" t="s">
        <v>99</v>
      </c>
      <c r="W38" s="402">
        <v>9404084</v>
      </c>
    </row>
    <row r="39" spans="1:23" ht="12.75" customHeight="1" thickBot="1" x14ac:dyDescent="0.25">
      <c r="A39" s="843"/>
      <c r="B39" s="847"/>
      <c r="C39" s="356"/>
      <c r="D39" s="165"/>
      <c r="E39" s="357"/>
      <c r="F39" s="358"/>
      <c r="G39" s="74">
        <v>0</v>
      </c>
      <c r="H39" s="74">
        <v>0</v>
      </c>
      <c r="I39" s="91">
        <v>0</v>
      </c>
      <c r="J39" s="94">
        <f t="shared" si="5"/>
        <v>0</v>
      </c>
      <c r="K39" s="83">
        <f t="shared" si="0"/>
        <v>0</v>
      </c>
      <c r="L39" s="28"/>
      <c r="M39" s="126">
        <v>0</v>
      </c>
      <c r="N39" s="125">
        <f t="shared" si="1"/>
        <v>0</v>
      </c>
      <c r="O39" s="126">
        <v>0</v>
      </c>
      <c r="P39" s="135">
        <f t="shared" si="2"/>
        <v>0</v>
      </c>
      <c r="Q39" s="133">
        <v>0</v>
      </c>
      <c r="R39" s="125">
        <f t="shared" si="3"/>
        <v>0</v>
      </c>
      <c r="S39" s="572">
        <f t="shared" si="6"/>
        <v>0</v>
      </c>
      <c r="U39" s="107">
        <v>53214020000000</v>
      </c>
      <c r="V39" s="104" t="s">
        <v>33</v>
      </c>
      <c r="W39" s="402">
        <v>0</v>
      </c>
    </row>
    <row r="40" spans="1:23" ht="12.75" customHeight="1" x14ac:dyDescent="0.2">
      <c r="A40" s="843"/>
      <c r="B40" s="848" t="s">
        <v>120</v>
      </c>
      <c r="C40" s="362"/>
      <c r="D40" s="416"/>
      <c r="E40" s="363"/>
      <c r="F40" s="364"/>
      <c r="G40" s="371"/>
      <c r="H40" s="371"/>
      <c r="I40" s="371"/>
      <c r="J40" s="95">
        <f t="shared" ref="J40:J61" si="7">SUM(G40:I40)</f>
        <v>0</v>
      </c>
      <c r="K40" s="97">
        <f t="shared" si="0"/>
        <v>0</v>
      </c>
      <c r="L40" s="28"/>
      <c r="M40" s="114">
        <v>0.64</v>
      </c>
      <c r="N40" s="123">
        <f t="shared" si="1"/>
        <v>0</v>
      </c>
      <c r="O40" s="114">
        <v>0.16</v>
      </c>
      <c r="P40" s="134">
        <f t="shared" si="2"/>
        <v>0</v>
      </c>
      <c r="Q40" s="131">
        <v>0.2</v>
      </c>
      <c r="R40" s="567">
        <f t="shared" si="3"/>
        <v>0</v>
      </c>
      <c r="S40" s="570">
        <f t="shared" si="6"/>
        <v>1</v>
      </c>
      <c r="U40" s="105"/>
      <c r="V40" s="102" t="s">
        <v>34</v>
      </c>
      <c r="W40" s="108">
        <f>SUM(W41,W46,W49,W60,W70,W78)</f>
        <v>39947689</v>
      </c>
    </row>
    <row r="41" spans="1:23" ht="12.75" customHeight="1" x14ac:dyDescent="0.2">
      <c r="A41" s="843"/>
      <c r="B41" s="849"/>
      <c r="C41" s="359"/>
      <c r="D41" s="359"/>
      <c r="E41" s="359"/>
      <c r="F41" s="354"/>
      <c r="G41" s="371">
        <v>0</v>
      </c>
      <c r="H41" s="371">
        <v>0</v>
      </c>
      <c r="I41" s="371">
        <v>0</v>
      </c>
      <c r="J41" s="96">
        <f t="shared" ref="J41:J48" si="8">SUM(G41:I41)</f>
        <v>0</v>
      </c>
      <c r="K41" s="98">
        <f t="shared" si="0"/>
        <v>0</v>
      </c>
      <c r="L41" s="28"/>
      <c r="M41" s="121">
        <v>0</v>
      </c>
      <c r="N41" s="124">
        <f t="shared" si="1"/>
        <v>0</v>
      </c>
      <c r="O41" s="121">
        <v>0</v>
      </c>
      <c r="P41" s="122">
        <f t="shared" si="2"/>
        <v>0</v>
      </c>
      <c r="Q41" s="132">
        <v>0</v>
      </c>
      <c r="R41" s="568">
        <f t="shared" si="3"/>
        <v>0</v>
      </c>
      <c r="S41" s="571">
        <f t="shared" si="6"/>
        <v>0</v>
      </c>
      <c r="U41" s="106"/>
      <c r="V41" s="103" t="s">
        <v>35</v>
      </c>
      <c r="W41" s="109">
        <f>SUM(W42:W45)</f>
        <v>3362100</v>
      </c>
    </row>
    <row r="42" spans="1:23" ht="12.75" customHeight="1" x14ac:dyDescent="0.2">
      <c r="A42" s="843"/>
      <c r="B42" s="849"/>
      <c r="C42" s="359"/>
      <c r="D42" s="360"/>
      <c r="E42" s="361"/>
      <c r="F42" s="365"/>
      <c r="G42" s="70">
        <v>0</v>
      </c>
      <c r="H42" s="70">
        <v>0</v>
      </c>
      <c r="I42" s="90">
        <v>0</v>
      </c>
      <c r="J42" s="96">
        <f t="shared" si="8"/>
        <v>0</v>
      </c>
      <c r="K42" s="98">
        <f t="shared" si="0"/>
        <v>0</v>
      </c>
      <c r="L42" s="28"/>
      <c r="M42" s="121">
        <v>0</v>
      </c>
      <c r="N42" s="124">
        <f t="shared" si="1"/>
        <v>0</v>
      </c>
      <c r="O42" s="121">
        <v>0</v>
      </c>
      <c r="P42" s="122">
        <f t="shared" si="2"/>
        <v>0</v>
      </c>
      <c r="Q42" s="132">
        <v>0</v>
      </c>
      <c r="R42" s="568">
        <f t="shared" si="3"/>
        <v>0</v>
      </c>
      <c r="S42" s="571">
        <f t="shared" si="6"/>
        <v>0</v>
      </c>
      <c r="U42" s="107">
        <v>53202020100000</v>
      </c>
      <c r="V42" s="104" t="s">
        <v>39</v>
      </c>
      <c r="W42" s="402">
        <v>1859550</v>
      </c>
    </row>
    <row r="43" spans="1:23" ht="12.75" customHeight="1" x14ac:dyDescent="0.2">
      <c r="A43" s="843"/>
      <c r="B43" s="849"/>
      <c r="C43" s="53"/>
      <c r="D43" s="55"/>
      <c r="E43" s="56"/>
      <c r="F43" s="62"/>
      <c r="G43" s="70">
        <v>0</v>
      </c>
      <c r="H43" s="70">
        <v>0</v>
      </c>
      <c r="I43" s="90">
        <v>0</v>
      </c>
      <c r="J43" s="96">
        <f t="shared" si="8"/>
        <v>0</v>
      </c>
      <c r="K43" s="98">
        <f t="shared" si="0"/>
        <v>0</v>
      </c>
      <c r="L43" s="28"/>
      <c r="M43" s="121">
        <v>0</v>
      </c>
      <c r="N43" s="124">
        <f t="shared" si="1"/>
        <v>0</v>
      </c>
      <c r="O43" s="121">
        <v>0</v>
      </c>
      <c r="P43" s="122">
        <f t="shared" si="2"/>
        <v>0</v>
      </c>
      <c r="Q43" s="132">
        <v>0</v>
      </c>
      <c r="R43" s="568">
        <f t="shared" si="3"/>
        <v>0</v>
      </c>
      <c r="S43" s="571">
        <f t="shared" si="6"/>
        <v>0</v>
      </c>
      <c r="U43" s="107">
        <v>53202030000000</v>
      </c>
      <c r="V43" s="104" t="s">
        <v>40</v>
      </c>
      <c r="W43" s="402">
        <v>1030050</v>
      </c>
    </row>
    <row r="44" spans="1:23" ht="12.75" customHeight="1" x14ac:dyDescent="0.2">
      <c r="A44" s="843"/>
      <c r="B44" s="849"/>
      <c r="C44" s="53"/>
      <c r="D44" s="55"/>
      <c r="E44" s="56"/>
      <c r="F44" s="62"/>
      <c r="G44" s="70">
        <v>0</v>
      </c>
      <c r="H44" s="70">
        <v>0</v>
      </c>
      <c r="I44" s="90">
        <v>0</v>
      </c>
      <c r="J44" s="96">
        <f t="shared" si="8"/>
        <v>0</v>
      </c>
      <c r="K44" s="98">
        <f t="shared" si="0"/>
        <v>0</v>
      </c>
      <c r="L44" s="28"/>
      <c r="M44" s="121">
        <v>0</v>
      </c>
      <c r="N44" s="124">
        <f t="shared" si="1"/>
        <v>0</v>
      </c>
      <c r="O44" s="121">
        <v>0</v>
      </c>
      <c r="P44" s="122">
        <f t="shared" si="2"/>
        <v>0</v>
      </c>
      <c r="Q44" s="132">
        <v>0</v>
      </c>
      <c r="R44" s="568">
        <f t="shared" si="3"/>
        <v>0</v>
      </c>
      <c r="S44" s="571">
        <f t="shared" si="6"/>
        <v>0</v>
      </c>
      <c r="U44" s="107">
        <v>53211020000000</v>
      </c>
      <c r="V44" s="104" t="s">
        <v>41</v>
      </c>
      <c r="W44" s="402">
        <v>472500</v>
      </c>
    </row>
    <row r="45" spans="1:23" ht="12.75" customHeight="1" x14ac:dyDescent="0.2">
      <c r="A45" s="843"/>
      <c r="B45" s="849"/>
      <c r="C45" s="53"/>
      <c r="D45" s="55"/>
      <c r="E45" s="56"/>
      <c r="F45" s="62"/>
      <c r="G45" s="70">
        <v>0</v>
      </c>
      <c r="H45" s="70">
        <v>0</v>
      </c>
      <c r="I45" s="90">
        <v>0</v>
      </c>
      <c r="J45" s="96">
        <f t="shared" si="8"/>
        <v>0</v>
      </c>
      <c r="K45" s="98">
        <f t="shared" si="0"/>
        <v>0</v>
      </c>
      <c r="L45" s="28"/>
      <c r="M45" s="121">
        <v>0</v>
      </c>
      <c r="N45" s="124">
        <f t="shared" si="1"/>
        <v>0</v>
      </c>
      <c r="O45" s="121">
        <v>0</v>
      </c>
      <c r="P45" s="122">
        <f t="shared" si="2"/>
        <v>0</v>
      </c>
      <c r="Q45" s="132">
        <v>0</v>
      </c>
      <c r="R45" s="568">
        <f t="shared" si="3"/>
        <v>0</v>
      </c>
      <c r="S45" s="571">
        <f t="shared" si="6"/>
        <v>0</v>
      </c>
      <c r="U45" s="107">
        <v>53101004030000</v>
      </c>
      <c r="V45" s="104" t="s">
        <v>38</v>
      </c>
      <c r="W45" s="402">
        <v>0</v>
      </c>
    </row>
    <row r="46" spans="1:23" ht="12.75" customHeight="1" x14ac:dyDescent="0.2">
      <c r="A46" s="843"/>
      <c r="B46" s="849"/>
      <c r="C46" s="53"/>
      <c r="D46" s="55"/>
      <c r="E46" s="56"/>
      <c r="F46" s="62"/>
      <c r="G46" s="70">
        <v>0</v>
      </c>
      <c r="H46" s="70">
        <v>0</v>
      </c>
      <c r="I46" s="90">
        <v>0</v>
      </c>
      <c r="J46" s="96">
        <f t="shared" si="8"/>
        <v>0</v>
      </c>
      <c r="K46" s="98">
        <f t="shared" si="0"/>
        <v>0</v>
      </c>
      <c r="L46" s="28"/>
      <c r="M46" s="121">
        <v>0</v>
      </c>
      <c r="N46" s="124">
        <f t="shared" si="1"/>
        <v>0</v>
      </c>
      <c r="O46" s="121">
        <v>0</v>
      </c>
      <c r="P46" s="122">
        <f t="shared" si="2"/>
        <v>0</v>
      </c>
      <c r="Q46" s="132">
        <v>0</v>
      </c>
      <c r="R46" s="568">
        <f t="shared" si="3"/>
        <v>0</v>
      </c>
      <c r="S46" s="571">
        <f t="shared" si="6"/>
        <v>0</v>
      </c>
      <c r="U46" s="106"/>
      <c r="V46" s="103" t="s">
        <v>42</v>
      </c>
      <c r="W46" s="109">
        <f>SUM(W47:W48)</f>
        <v>0</v>
      </c>
    </row>
    <row r="47" spans="1:23" ht="12.75" customHeight="1" x14ac:dyDescent="0.2">
      <c r="A47" s="843"/>
      <c r="B47" s="849"/>
      <c r="C47" s="53"/>
      <c r="D47" s="55"/>
      <c r="E47" s="56"/>
      <c r="F47" s="62"/>
      <c r="G47" s="70">
        <v>0</v>
      </c>
      <c r="H47" s="70">
        <v>0</v>
      </c>
      <c r="I47" s="90">
        <v>0</v>
      </c>
      <c r="J47" s="96">
        <f t="shared" si="8"/>
        <v>0</v>
      </c>
      <c r="K47" s="98">
        <f t="shared" si="0"/>
        <v>0</v>
      </c>
      <c r="L47" s="28"/>
      <c r="M47" s="121">
        <v>0</v>
      </c>
      <c r="N47" s="124">
        <f t="shared" si="1"/>
        <v>0</v>
      </c>
      <c r="O47" s="121">
        <v>0</v>
      </c>
      <c r="P47" s="122">
        <f t="shared" si="2"/>
        <v>0</v>
      </c>
      <c r="Q47" s="132">
        <v>0</v>
      </c>
      <c r="R47" s="568">
        <f t="shared" si="3"/>
        <v>0</v>
      </c>
      <c r="S47" s="571">
        <f t="shared" si="6"/>
        <v>0</v>
      </c>
      <c r="U47" s="107">
        <v>53205080000000</v>
      </c>
      <c r="V47" s="104" t="s">
        <v>43</v>
      </c>
      <c r="W47" s="110">
        <v>0</v>
      </c>
    </row>
    <row r="48" spans="1:23" ht="12.75" customHeight="1" x14ac:dyDescent="0.2">
      <c r="A48" s="843"/>
      <c r="B48" s="849"/>
      <c r="C48" s="53"/>
      <c r="D48" s="55"/>
      <c r="E48" s="56"/>
      <c r="F48" s="62"/>
      <c r="G48" s="70">
        <v>0</v>
      </c>
      <c r="H48" s="70">
        <v>0</v>
      </c>
      <c r="I48" s="90">
        <v>0</v>
      </c>
      <c r="J48" s="96">
        <f t="shared" si="8"/>
        <v>0</v>
      </c>
      <c r="K48" s="98">
        <f t="shared" si="0"/>
        <v>0</v>
      </c>
      <c r="L48" s="28"/>
      <c r="M48" s="121">
        <v>0</v>
      </c>
      <c r="N48" s="124">
        <f t="shared" si="1"/>
        <v>0</v>
      </c>
      <c r="O48" s="121">
        <v>0</v>
      </c>
      <c r="P48" s="122">
        <f t="shared" si="2"/>
        <v>0</v>
      </c>
      <c r="Q48" s="132">
        <v>0</v>
      </c>
      <c r="R48" s="568">
        <f t="shared" si="3"/>
        <v>0</v>
      </c>
      <c r="S48" s="571">
        <f t="shared" si="6"/>
        <v>0</v>
      </c>
      <c r="U48" s="107">
        <v>53205990000000</v>
      </c>
      <c r="V48" s="104" t="s">
        <v>44</v>
      </c>
      <c r="W48" s="110">
        <v>0</v>
      </c>
    </row>
    <row r="49" spans="1:23" ht="12.75" customHeight="1" x14ac:dyDescent="0.2">
      <c r="A49" s="843"/>
      <c r="B49" s="850"/>
      <c r="C49" s="53"/>
      <c r="D49" s="55"/>
      <c r="E49" s="56"/>
      <c r="F49" s="62"/>
      <c r="G49" s="70">
        <v>0</v>
      </c>
      <c r="H49" s="70">
        <v>0</v>
      </c>
      <c r="I49" s="90">
        <v>0</v>
      </c>
      <c r="J49" s="96">
        <f t="shared" si="7"/>
        <v>0</v>
      </c>
      <c r="K49" s="98">
        <f t="shared" si="0"/>
        <v>0</v>
      </c>
      <c r="L49" s="28"/>
      <c r="M49" s="121">
        <v>0</v>
      </c>
      <c r="N49" s="124">
        <f t="shared" si="1"/>
        <v>0</v>
      </c>
      <c r="O49" s="121">
        <v>0</v>
      </c>
      <c r="P49" s="122">
        <f t="shared" si="2"/>
        <v>0</v>
      </c>
      <c r="Q49" s="132">
        <v>0</v>
      </c>
      <c r="R49" s="568">
        <f t="shared" si="3"/>
        <v>0</v>
      </c>
      <c r="S49" s="571">
        <f t="shared" si="6"/>
        <v>0</v>
      </c>
      <c r="U49" s="106"/>
      <c r="V49" s="103" t="s">
        <v>45</v>
      </c>
      <c r="W49" s="109">
        <f>SUM(W50:W59)</f>
        <v>23867989</v>
      </c>
    </row>
    <row r="50" spans="1:23" ht="12.75" customHeight="1" x14ac:dyDescent="0.2">
      <c r="A50" s="843"/>
      <c r="B50" s="849"/>
      <c r="C50" s="53"/>
      <c r="D50" s="55"/>
      <c r="E50" s="56"/>
      <c r="F50" s="62"/>
      <c r="G50" s="70">
        <v>0</v>
      </c>
      <c r="H50" s="70">
        <v>0</v>
      </c>
      <c r="I50" s="90">
        <v>0</v>
      </c>
      <c r="J50" s="96">
        <f t="shared" ref="J50:J53" si="9">SUM(G50:I50)</f>
        <v>0</v>
      </c>
      <c r="K50" s="98">
        <f t="shared" si="0"/>
        <v>0</v>
      </c>
      <c r="L50" s="28"/>
      <c r="M50" s="121">
        <v>0</v>
      </c>
      <c r="N50" s="124">
        <f t="shared" si="1"/>
        <v>0</v>
      </c>
      <c r="O50" s="121">
        <v>0</v>
      </c>
      <c r="P50" s="122">
        <f t="shared" si="2"/>
        <v>0</v>
      </c>
      <c r="Q50" s="132">
        <v>0</v>
      </c>
      <c r="R50" s="568">
        <f t="shared" si="3"/>
        <v>0</v>
      </c>
      <c r="S50" s="571">
        <f t="shared" si="6"/>
        <v>0</v>
      </c>
      <c r="U50" s="107">
        <v>53203010200000</v>
      </c>
      <c r="V50" s="104" t="s">
        <v>46</v>
      </c>
      <c r="W50" s="402">
        <v>6931789</v>
      </c>
    </row>
    <row r="51" spans="1:23" ht="12.75" customHeight="1" x14ac:dyDescent="0.2">
      <c r="A51" s="843"/>
      <c r="B51" s="849"/>
      <c r="C51" s="53"/>
      <c r="D51" s="55"/>
      <c r="E51" s="56"/>
      <c r="F51" s="62"/>
      <c r="G51" s="70">
        <v>0</v>
      </c>
      <c r="H51" s="70">
        <v>0</v>
      </c>
      <c r="I51" s="90">
        <v>0</v>
      </c>
      <c r="J51" s="96">
        <f t="shared" si="9"/>
        <v>0</v>
      </c>
      <c r="K51" s="98">
        <f t="shared" si="0"/>
        <v>0</v>
      </c>
      <c r="L51" s="28"/>
      <c r="M51" s="121">
        <v>0</v>
      </c>
      <c r="N51" s="124">
        <f t="shared" si="1"/>
        <v>0</v>
      </c>
      <c r="O51" s="121">
        <v>0</v>
      </c>
      <c r="P51" s="122">
        <f t="shared" si="2"/>
        <v>0</v>
      </c>
      <c r="Q51" s="132">
        <v>0</v>
      </c>
      <c r="R51" s="568">
        <f t="shared" si="3"/>
        <v>0</v>
      </c>
      <c r="S51" s="571">
        <f t="shared" si="6"/>
        <v>0</v>
      </c>
      <c r="U51" s="107">
        <v>53204010000000</v>
      </c>
      <c r="V51" s="104" t="s">
        <v>47</v>
      </c>
      <c r="W51" s="402">
        <v>4291200</v>
      </c>
    </row>
    <row r="52" spans="1:23" ht="12.75" customHeight="1" x14ac:dyDescent="0.2">
      <c r="A52" s="843"/>
      <c r="B52" s="849"/>
      <c r="C52" s="53"/>
      <c r="D52" s="55"/>
      <c r="E52" s="56"/>
      <c r="F52" s="62"/>
      <c r="G52" s="70">
        <v>0</v>
      </c>
      <c r="H52" s="70">
        <v>0</v>
      </c>
      <c r="I52" s="90">
        <v>0</v>
      </c>
      <c r="J52" s="96">
        <f t="shared" si="9"/>
        <v>0</v>
      </c>
      <c r="K52" s="98">
        <f t="shared" si="0"/>
        <v>0</v>
      </c>
      <c r="L52" s="28"/>
      <c r="M52" s="121">
        <v>0</v>
      </c>
      <c r="N52" s="124">
        <f t="shared" si="1"/>
        <v>0</v>
      </c>
      <c r="O52" s="121">
        <v>0</v>
      </c>
      <c r="P52" s="122">
        <f t="shared" si="2"/>
        <v>0</v>
      </c>
      <c r="Q52" s="132">
        <v>0</v>
      </c>
      <c r="R52" s="568">
        <f t="shared" si="3"/>
        <v>0</v>
      </c>
      <c r="S52" s="571">
        <f t="shared" si="6"/>
        <v>0</v>
      </c>
      <c r="U52" s="107">
        <v>53204040200000</v>
      </c>
      <c r="V52" s="104" t="s">
        <v>48</v>
      </c>
      <c r="W52" s="402">
        <v>0</v>
      </c>
    </row>
    <row r="53" spans="1:23" ht="12.75" customHeight="1" x14ac:dyDescent="0.2">
      <c r="A53" s="843"/>
      <c r="B53" s="849"/>
      <c r="C53" s="53"/>
      <c r="D53" s="55"/>
      <c r="E53" s="56"/>
      <c r="F53" s="62"/>
      <c r="G53" s="70">
        <v>0</v>
      </c>
      <c r="H53" s="70">
        <v>0</v>
      </c>
      <c r="I53" s="90">
        <v>0</v>
      </c>
      <c r="J53" s="96">
        <f t="shared" si="9"/>
        <v>0</v>
      </c>
      <c r="K53" s="98">
        <f t="shared" si="0"/>
        <v>0</v>
      </c>
      <c r="L53" s="28"/>
      <c r="M53" s="121">
        <v>0</v>
      </c>
      <c r="N53" s="124">
        <f t="shared" si="1"/>
        <v>0</v>
      </c>
      <c r="O53" s="121">
        <v>0</v>
      </c>
      <c r="P53" s="122">
        <f t="shared" si="2"/>
        <v>0</v>
      </c>
      <c r="Q53" s="132">
        <v>0</v>
      </c>
      <c r="R53" s="568">
        <f t="shared" si="3"/>
        <v>0</v>
      </c>
      <c r="S53" s="571">
        <f t="shared" si="6"/>
        <v>0</v>
      </c>
      <c r="U53" s="107">
        <v>53204060000000</v>
      </c>
      <c r="V53" s="104" t="s">
        <v>49</v>
      </c>
      <c r="W53" s="402">
        <v>0</v>
      </c>
    </row>
    <row r="54" spans="1:23" ht="12.75" customHeight="1" x14ac:dyDescent="0.2">
      <c r="A54" s="843"/>
      <c r="B54" s="850"/>
      <c r="C54" s="53"/>
      <c r="D54" s="55"/>
      <c r="E54" s="56"/>
      <c r="F54" s="62"/>
      <c r="G54" s="70">
        <v>0</v>
      </c>
      <c r="H54" s="70">
        <v>0</v>
      </c>
      <c r="I54" s="90">
        <v>0</v>
      </c>
      <c r="J54" s="96">
        <f t="shared" si="7"/>
        <v>0</v>
      </c>
      <c r="K54" s="98">
        <f t="shared" si="0"/>
        <v>0</v>
      </c>
      <c r="L54" s="28"/>
      <c r="M54" s="121">
        <v>0</v>
      </c>
      <c r="N54" s="124">
        <f t="shared" si="1"/>
        <v>0</v>
      </c>
      <c r="O54" s="121">
        <v>0</v>
      </c>
      <c r="P54" s="122">
        <f t="shared" si="2"/>
        <v>0</v>
      </c>
      <c r="Q54" s="132">
        <v>0</v>
      </c>
      <c r="R54" s="568">
        <f t="shared" si="3"/>
        <v>0</v>
      </c>
      <c r="S54" s="571">
        <f t="shared" si="6"/>
        <v>0</v>
      </c>
      <c r="U54" s="107">
        <v>53204070000000</v>
      </c>
      <c r="V54" s="104" t="s">
        <v>50</v>
      </c>
      <c r="W54" s="402">
        <v>3321000</v>
      </c>
    </row>
    <row r="55" spans="1:23" ht="12.75" customHeight="1" x14ac:dyDescent="0.2">
      <c r="A55" s="843"/>
      <c r="B55" s="850"/>
      <c r="C55" s="53"/>
      <c r="D55" s="55"/>
      <c r="E55" s="56"/>
      <c r="F55" s="62"/>
      <c r="G55" s="70">
        <v>0</v>
      </c>
      <c r="H55" s="70">
        <v>0</v>
      </c>
      <c r="I55" s="90">
        <v>0</v>
      </c>
      <c r="J55" s="96">
        <f t="shared" si="7"/>
        <v>0</v>
      </c>
      <c r="K55" s="98">
        <f t="shared" si="0"/>
        <v>0</v>
      </c>
      <c r="L55" s="28"/>
      <c r="M55" s="121">
        <v>0</v>
      </c>
      <c r="N55" s="124">
        <f t="shared" si="1"/>
        <v>0</v>
      </c>
      <c r="O55" s="121">
        <v>0</v>
      </c>
      <c r="P55" s="122">
        <f t="shared" si="2"/>
        <v>0</v>
      </c>
      <c r="Q55" s="132">
        <v>0</v>
      </c>
      <c r="R55" s="568">
        <f t="shared" si="3"/>
        <v>0</v>
      </c>
      <c r="S55" s="571">
        <f t="shared" si="6"/>
        <v>0</v>
      </c>
      <c r="U55" s="107">
        <v>53204080000000</v>
      </c>
      <c r="V55" s="104" t="s">
        <v>51</v>
      </c>
      <c r="W55" s="402">
        <v>0</v>
      </c>
    </row>
    <row r="56" spans="1:23" ht="12.75" customHeight="1" x14ac:dyDescent="0.2">
      <c r="A56" s="843"/>
      <c r="B56" s="850"/>
      <c r="C56" s="53"/>
      <c r="D56" s="55"/>
      <c r="E56" s="56"/>
      <c r="F56" s="62"/>
      <c r="G56" s="70">
        <v>0</v>
      </c>
      <c r="H56" s="70">
        <v>0</v>
      </c>
      <c r="I56" s="90">
        <v>0</v>
      </c>
      <c r="J56" s="96">
        <f t="shared" si="7"/>
        <v>0</v>
      </c>
      <c r="K56" s="98">
        <f t="shared" si="0"/>
        <v>0</v>
      </c>
      <c r="L56" s="28"/>
      <c r="M56" s="121">
        <v>0</v>
      </c>
      <c r="N56" s="124">
        <f t="shared" si="1"/>
        <v>0</v>
      </c>
      <c r="O56" s="121">
        <v>0</v>
      </c>
      <c r="P56" s="122">
        <f t="shared" si="2"/>
        <v>0</v>
      </c>
      <c r="Q56" s="132">
        <v>0</v>
      </c>
      <c r="R56" s="568">
        <f t="shared" si="3"/>
        <v>0</v>
      </c>
      <c r="S56" s="571">
        <f t="shared" si="6"/>
        <v>0</v>
      </c>
      <c r="U56" s="107">
        <v>53214010000000</v>
      </c>
      <c r="V56" s="104" t="s">
        <v>52</v>
      </c>
      <c r="W56" s="402">
        <v>2866500</v>
      </c>
    </row>
    <row r="57" spans="1:23" ht="12.75" customHeight="1" x14ac:dyDescent="0.2">
      <c r="A57" s="843"/>
      <c r="B57" s="850"/>
      <c r="C57" s="53"/>
      <c r="D57" s="55"/>
      <c r="E57" s="56"/>
      <c r="F57" s="62"/>
      <c r="G57" s="70">
        <v>0</v>
      </c>
      <c r="H57" s="70">
        <v>0</v>
      </c>
      <c r="I57" s="90">
        <v>0</v>
      </c>
      <c r="J57" s="96">
        <f t="shared" si="7"/>
        <v>0</v>
      </c>
      <c r="K57" s="98">
        <f t="shared" si="0"/>
        <v>0</v>
      </c>
      <c r="L57" s="28"/>
      <c r="M57" s="121">
        <v>0</v>
      </c>
      <c r="N57" s="124">
        <f t="shared" si="1"/>
        <v>0</v>
      </c>
      <c r="O57" s="121">
        <v>0</v>
      </c>
      <c r="P57" s="122">
        <f t="shared" si="2"/>
        <v>0</v>
      </c>
      <c r="Q57" s="132">
        <v>0</v>
      </c>
      <c r="R57" s="568">
        <f t="shared" si="3"/>
        <v>0</v>
      </c>
      <c r="S57" s="571">
        <f t="shared" si="6"/>
        <v>0</v>
      </c>
      <c r="U57" s="107">
        <v>53214040000000</v>
      </c>
      <c r="V57" s="104" t="s">
        <v>132</v>
      </c>
      <c r="W57" s="402">
        <v>6457500</v>
      </c>
    </row>
    <row r="58" spans="1:23" ht="12.75" customHeight="1" x14ac:dyDescent="0.2">
      <c r="A58" s="843"/>
      <c r="B58" s="850"/>
      <c r="C58" s="53"/>
      <c r="D58" s="55"/>
      <c r="E58" s="56"/>
      <c r="F58" s="62"/>
      <c r="G58" s="70">
        <v>0</v>
      </c>
      <c r="H58" s="70">
        <v>0</v>
      </c>
      <c r="I58" s="90">
        <v>0</v>
      </c>
      <c r="J58" s="96">
        <f t="shared" si="7"/>
        <v>0</v>
      </c>
      <c r="K58" s="98">
        <f t="shared" si="0"/>
        <v>0</v>
      </c>
      <c r="L58" s="28"/>
      <c r="M58" s="121">
        <v>0</v>
      </c>
      <c r="N58" s="124">
        <f t="shared" si="1"/>
        <v>0</v>
      </c>
      <c r="O58" s="121">
        <v>0</v>
      </c>
      <c r="P58" s="122">
        <f t="shared" si="2"/>
        <v>0</v>
      </c>
      <c r="Q58" s="132">
        <v>0</v>
      </c>
      <c r="R58" s="568">
        <f t="shared" si="3"/>
        <v>0</v>
      </c>
      <c r="S58" s="571">
        <f t="shared" si="6"/>
        <v>0</v>
      </c>
      <c r="U58" s="107">
        <v>55201010100004</v>
      </c>
      <c r="V58" s="104" t="s">
        <v>53</v>
      </c>
      <c r="W58" s="402">
        <v>0</v>
      </c>
    </row>
    <row r="59" spans="1:23" ht="12.75" customHeight="1" x14ac:dyDescent="0.2">
      <c r="A59" s="843"/>
      <c r="B59" s="850"/>
      <c r="C59" s="53"/>
      <c r="D59" s="55"/>
      <c r="E59" s="56"/>
      <c r="F59" s="62"/>
      <c r="G59" s="70">
        <v>0</v>
      </c>
      <c r="H59" s="70">
        <v>0</v>
      </c>
      <c r="I59" s="90">
        <v>0</v>
      </c>
      <c r="J59" s="96">
        <f t="shared" si="7"/>
        <v>0</v>
      </c>
      <c r="K59" s="98">
        <f t="shared" si="0"/>
        <v>0</v>
      </c>
      <c r="L59" s="28"/>
      <c r="M59" s="121">
        <v>0</v>
      </c>
      <c r="N59" s="124">
        <f t="shared" si="1"/>
        <v>0</v>
      </c>
      <c r="O59" s="121">
        <v>0</v>
      </c>
      <c r="P59" s="122">
        <f t="shared" si="2"/>
        <v>0</v>
      </c>
      <c r="Q59" s="132">
        <v>0</v>
      </c>
      <c r="R59" s="568">
        <f t="shared" si="3"/>
        <v>0</v>
      </c>
      <c r="S59" s="571">
        <f t="shared" si="6"/>
        <v>0</v>
      </c>
      <c r="U59" s="107">
        <v>55201010100005</v>
      </c>
      <c r="V59" s="104" t="s">
        <v>54</v>
      </c>
      <c r="W59" s="402">
        <v>0</v>
      </c>
    </row>
    <row r="60" spans="1:23" ht="12.75" customHeight="1" x14ac:dyDescent="0.2">
      <c r="A60" s="843"/>
      <c r="B60" s="850"/>
      <c r="C60" s="53"/>
      <c r="D60" s="55"/>
      <c r="E60" s="56"/>
      <c r="F60" s="62"/>
      <c r="G60" s="70">
        <v>0</v>
      </c>
      <c r="H60" s="70">
        <v>0</v>
      </c>
      <c r="I60" s="90">
        <v>0</v>
      </c>
      <c r="J60" s="96">
        <f t="shared" si="7"/>
        <v>0</v>
      </c>
      <c r="K60" s="98">
        <f t="shared" si="0"/>
        <v>0</v>
      </c>
      <c r="L60" s="28"/>
      <c r="M60" s="121">
        <v>0</v>
      </c>
      <c r="N60" s="124">
        <f t="shared" si="1"/>
        <v>0</v>
      </c>
      <c r="O60" s="121">
        <v>0</v>
      </c>
      <c r="P60" s="122">
        <f t="shared" si="2"/>
        <v>0</v>
      </c>
      <c r="Q60" s="132">
        <v>0</v>
      </c>
      <c r="R60" s="568">
        <f t="shared" si="3"/>
        <v>0</v>
      </c>
      <c r="S60" s="571">
        <f t="shared" si="6"/>
        <v>0</v>
      </c>
      <c r="U60" s="106"/>
      <c r="V60" s="103" t="s">
        <v>55</v>
      </c>
      <c r="W60" s="109">
        <f>SUM(W61:W69)</f>
        <v>4969650</v>
      </c>
    </row>
    <row r="61" spans="1:23" ht="12.75" customHeight="1" thickBot="1" x14ac:dyDescent="0.25">
      <c r="A61" s="844"/>
      <c r="B61" s="851"/>
      <c r="C61" s="100"/>
      <c r="D61" s="71"/>
      <c r="E61" s="72"/>
      <c r="F61" s="73"/>
      <c r="G61" s="74">
        <v>0</v>
      </c>
      <c r="H61" s="74">
        <v>0</v>
      </c>
      <c r="I61" s="91">
        <v>0</v>
      </c>
      <c r="J61" s="94">
        <f t="shared" si="7"/>
        <v>0</v>
      </c>
      <c r="K61" s="83">
        <f t="shared" si="0"/>
        <v>0</v>
      </c>
      <c r="L61" s="28"/>
      <c r="M61" s="296">
        <v>0</v>
      </c>
      <c r="N61" s="297">
        <f t="shared" si="1"/>
        <v>0</v>
      </c>
      <c r="O61" s="296">
        <v>0</v>
      </c>
      <c r="P61" s="298">
        <f t="shared" si="2"/>
        <v>0</v>
      </c>
      <c r="Q61" s="299">
        <v>0</v>
      </c>
      <c r="R61" s="569">
        <f t="shared" si="3"/>
        <v>0</v>
      </c>
      <c r="S61" s="572">
        <f t="shared" si="6"/>
        <v>0</v>
      </c>
      <c r="U61" s="107">
        <v>53207010000000</v>
      </c>
      <c r="V61" s="104" t="s">
        <v>56</v>
      </c>
      <c r="W61" s="402">
        <v>0</v>
      </c>
    </row>
    <row r="62" spans="1:23" ht="12.75" customHeight="1" thickBot="1" x14ac:dyDescent="0.25">
      <c r="K62" s="295">
        <f>SUM(K15:K61)</f>
        <v>85585500</v>
      </c>
      <c r="M62" s="300">
        <f>+N62/$K$62</f>
        <v>0.57549242979242976</v>
      </c>
      <c r="N62" s="301">
        <f>SUM(N15:N61)</f>
        <v>49253807.350000001</v>
      </c>
      <c r="O62" s="300">
        <f>+P62/$K$62</f>
        <v>0.2200261294261294</v>
      </c>
      <c r="P62" s="301">
        <f>SUM(P15:P61)</f>
        <v>18831046.299999997</v>
      </c>
      <c r="Q62" s="300">
        <f>+R62/$K$62</f>
        <v>0.20448144078144076</v>
      </c>
      <c r="R62" s="301">
        <f>SUM(R15:R61)</f>
        <v>17500646.349999998</v>
      </c>
      <c r="U62" s="107">
        <v>53207020000000</v>
      </c>
      <c r="V62" s="104" t="s">
        <v>57</v>
      </c>
      <c r="W62" s="402">
        <v>0</v>
      </c>
    </row>
    <row r="63" spans="1:23" ht="12.75" customHeight="1" x14ac:dyDescent="0.2">
      <c r="K63" s="50">
        <v>1</v>
      </c>
      <c r="U63" s="107">
        <v>53208020000000</v>
      </c>
      <c r="V63" s="104" t="s">
        <v>58</v>
      </c>
      <c r="W63" s="402">
        <v>0</v>
      </c>
    </row>
    <row r="64" spans="1:23" ht="12.75" customHeight="1" thickBot="1" x14ac:dyDescent="0.25">
      <c r="U64" s="107">
        <v>53208990000000</v>
      </c>
      <c r="V64" s="104" t="s">
        <v>59</v>
      </c>
      <c r="W64" s="402">
        <v>194250</v>
      </c>
    </row>
    <row r="65" spans="1:23" ht="12.75" customHeight="1" x14ac:dyDescent="0.2">
      <c r="A65" s="836" t="s">
        <v>137</v>
      </c>
      <c r="B65" s="839" t="s">
        <v>122</v>
      </c>
      <c r="C65" s="99"/>
      <c r="D65" s="75"/>
      <c r="E65" s="76"/>
      <c r="F65" s="77" t="s">
        <v>121</v>
      </c>
      <c r="G65" s="69">
        <v>0</v>
      </c>
      <c r="H65" s="69">
        <v>0</v>
      </c>
      <c r="I65" s="89">
        <v>0</v>
      </c>
      <c r="J65" s="92">
        <f t="shared" si="5"/>
        <v>0</v>
      </c>
      <c r="K65" s="84">
        <f t="shared" si="0"/>
        <v>0</v>
      </c>
      <c r="L65" s="28"/>
      <c r="U65" s="107">
        <v>53209010000000</v>
      </c>
      <c r="V65" s="104" t="s">
        <v>60</v>
      </c>
      <c r="W65" s="402">
        <v>0</v>
      </c>
    </row>
    <row r="66" spans="1:23" ht="12.75" customHeight="1" x14ac:dyDescent="0.2">
      <c r="A66" s="837"/>
      <c r="B66" s="840"/>
      <c r="C66" s="54"/>
      <c r="D66" s="78"/>
      <c r="E66" s="79"/>
      <c r="F66" s="57" t="s">
        <v>121</v>
      </c>
      <c r="G66" s="70">
        <v>0</v>
      </c>
      <c r="H66" s="70">
        <v>0</v>
      </c>
      <c r="I66" s="90">
        <v>0</v>
      </c>
      <c r="J66" s="93">
        <f t="shared" si="5"/>
        <v>0</v>
      </c>
      <c r="K66" s="85">
        <f t="shared" si="0"/>
        <v>0</v>
      </c>
      <c r="L66" s="28"/>
      <c r="U66" s="107">
        <v>53209040000000</v>
      </c>
      <c r="V66" s="104" t="s">
        <v>61</v>
      </c>
      <c r="W66" s="402">
        <v>0</v>
      </c>
    </row>
    <row r="67" spans="1:23" ht="12.75" customHeight="1" x14ac:dyDescent="0.2">
      <c r="A67" s="837"/>
      <c r="B67" s="840"/>
      <c r="C67" s="54"/>
      <c r="D67" s="78"/>
      <c r="E67" s="79"/>
      <c r="F67" s="57" t="s">
        <v>121</v>
      </c>
      <c r="G67" s="70">
        <v>0</v>
      </c>
      <c r="H67" s="70">
        <v>0</v>
      </c>
      <c r="I67" s="90">
        <v>0</v>
      </c>
      <c r="J67" s="93">
        <f t="shared" si="5"/>
        <v>0</v>
      </c>
      <c r="K67" s="85">
        <f t="shared" si="0"/>
        <v>0</v>
      </c>
      <c r="L67" s="28"/>
      <c r="U67" s="107">
        <v>53209050000000</v>
      </c>
      <c r="V67" s="104" t="s">
        <v>62</v>
      </c>
      <c r="W67" s="402">
        <v>4775400</v>
      </c>
    </row>
    <row r="68" spans="1:23" ht="12.75" customHeight="1" x14ac:dyDescent="0.2">
      <c r="A68" s="837"/>
      <c r="B68" s="840"/>
      <c r="C68" s="52"/>
      <c r="D68" s="80"/>
      <c r="E68" s="81"/>
      <c r="F68" s="82" t="s">
        <v>121</v>
      </c>
      <c r="G68" s="70">
        <v>0</v>
      </c>
      <c r="H68" s="70">
        <v>0</v>
      </c>
      <c r="I68" s="90">
        <v>0</v>
      </c>
      <c r="J68" s="93">
        <f t="shared" si="5"/>
        <v>0</v>
      </c>
      <c r="K68" s="85">
        <f t="shared" si="0"/>
        <v>0</v>
      </c>
      <c r="L68" s="28"/>
      <c r="U68" s="107">
        <v>53209990000000</v>
      </c>
      <c r="V68" s="104" t="s">
        <v>63</v>
      </c>
      <c r="W68" s="402">
        <v>0</v>
      </c>
    </row>
    <row r="69" spans="1:23" ht="12.75" customHeight="1" thickBot="1" x14ac:dyDescent="0.25">
      <c r="A69" s="838"/>
      <c r="B69" s="841"/>
      <c r="C69" s="100"/>
      <c r="D69" s="71"/>
      <c r="E69" s="72"/>
      <c r="F69" s="73" t="s">
        <v>121</v>
      </c>
      <c r="G69" s="74">
        <v>0</v>
      </c>
      <c r="H69" s="74">
        <v>0</v>
      </c>
      <c r="I69" s="91">
        <v>0</v>
      </c>
      <c r="J69" s="94">
        <f t="shared" si="5"/>
        <v>0</v>
      </c>
      <c r="K69" s="83">
        <f t="shared" si="0"/>
        <v>0</v>
      </c>
      <c r="L69" s="28"/>
      <c r="U69" s="107">
        <v>53210020100000</v>
      </c>
      <c r="V69" s="104" t="s">
        <v>64</v>
      </c>
      <c r="W69" s="402">
        <v>0</v>
      </c>
    </row>
    <row r="70" spans="1:23" ht="15.75" x14ac:dyDescent="0.2">
      <c r="C70" s="18"/>
      <c r="D70" s="18"/>
      <c r="E70" s="31"/>
      <c r="F70" s="31"/>
      <c r="G70" s="31"/>
      <c r="H70" s="31"/>
      <c r="I70" s="31"/>
      <c r="K70" s="49">
        <f>SUM(K65:K69)</f>
        <v>0</v>
      </c>
      <c r="L70" s="28"/>
      <c r="U70" s="106"/>
      <c r="V70" s="103" t="s">
        <v>65</v>
      </c>
      <c r="W70" s="109">
        <f>SUM(W71:W77)</f>
        <v>6198150</v>
      </c>
    </row>
    <row r="71" spans="1:23" x14ac:dyDescent="0.2">
      <c r="K71" s="50">
        <v>1</v>
      </c>
      <c r="L71" s="28"/>
      <c r="M71" s="32"/>
      <c r="O71" s="32"/>
      <c r="Q71" s="32"/>
      <c r="U71" s="107">
        <v>53206030000000</v>
      </c>
      <c r="V71" s="104" t="s">
        <v>100</v>
      </c>
      <c r="W71" s="402">
        <v>0</v>
      </c>
    </row>
    <row r="72" spans="1:23" x14ac:dyDescent="0.2">
      <c r="L72" s="28"/>
      <c r="U72" s="107">
        <v>53206040000000</v>
      </c>
      <c r="V72" s="104" t="s">
        <v>101</v>
      </c>
      <c r="W72" s="402">
        <v>0</v>
      </c>
    </row>
    <row r="73" spans="1:23" x14ac:dyDescent="0.2">
      <c r="U73" s="107">
        <v>53206060000000</v>
      </c>
      <c r="V73" s="104" t="s">
        <v>102</v>
      </c>
      <c r="W73" s="402">
        <v>486150</v>
      </c>
    </row>
    <row r="74" spans="1:23" x14ac:dyDescent="0.2">
      <c r="U74" s="107">
        <v>53206070000000</v>
      </c>
      <c r="V74" s="104" t="s">
        <v>103</v>
      </c>
      <c r="W74" s="402">
        <v>0</v>
      </c>
    </row>
    <row r="75" spans="1:23" ht="15.75" customHeight="1" x14ac:dyDescent="0.2">
      <c r="H75" s="101"/>
      <c r="U75" s="107">
        <v>53206990000000</v>
      </c>
      <c r="V75" s="104" t="s">
        <v>104</v>
      </c>
      <c r="W75" s="402">
        <v>5712000</v>
      </c>
    </row>
    <row r="76" spans="1:23" x14ac:dyDescent="0.2">
      <c r="U76" s="107">
        <v>53208030000000</v>
      </c>
      <c r="V76" s="104" t="s">
        <v>105</v>
      </c>
      <c r="W76" s="402">
        <v>0</v>
      </c>
    </row>
    <row r="77" spans="1:23" x14ac:dyDescent="0.2">
      <c r="U77" s="107">
        <v>53212060000000</v>
      </c>
      <c r="V77" s="104" t="s">
        <v>98</v>
      </c>
      <c r="W77" s="402">
        <v>0</v>
      </c>
    </row>
    <row r="78" spans="1:23" x14ac:dyDescent="0.2">
      <c r="U78" s="106"/>
      <c r="V78" s="103" t="s">
        <v>66</v>
      </c>
      <c r="W78" s="109">
        <f>SUM(W79:W79)</f>
        <v>1549800</v>
      </c>
    </row>
    <row r="79" spans="1:23" x14ac:dyDescent="0.2">
      <c r="U79" s="107">
        <v>53204999000000</v>
      </c>
      <c r="V79" s="104" t="s">
        <v>97</v>
      </c>
      <c r="W79" s="402">
        <v>1549800</v>
      </c>
    </row>
    <row r="80" spans="1:23" x14ac:dyDescent="0.2">
      <c r="U80" s="111"/>
      <c r="V80" s="112" t="s">
        <v>139</v>
      </c>
      <c r="W80" s="113">
        <f>+W40+W15</f>
        <v>103122855</v>
      </c>
    </row>
    <row r="83" ht="15.75" customHeight="1" x14ac:dyDescent="0.2"/>
    <row r="97" spans="11:12" x14ac:dyDescent="0.2">
      <c r="L97" s="115"/>
    </row>
    <row r="99" spans="11:12" x14ac:dyDescent="0.2">
      <c r="K99" s="119"/>
    </row>
    <row r="101" spans="11:12" x14ac:dyDescent="0.2">
      <c r="K101" s="116"/>
    </row>
  </sheetData>
  <sheetProtection algorithmName="SHA-512" hashValue="ZdpTcY6QyCTqKyb6qByRvXp79ItsOck30EkNdGyxfO+gNTiXARjB1gDWilNyX/iniV8JLXYD+CU7zwubY145LA==" saltValue="8aUsJlPUlRY9sww/lJUP8A==" spinCount="100000" sheet="1" objects="1" scenarios="1"/>
  <mergeCells count="43">
    <mergeCell ref="A9:H9"/>
    <mergeCell ref="U9:W10"/>
    <mergeCell ref="U13:U14"/>
    <mergeCell ref="V13:V14"/>
    <mergeCell ref="AG13:AH13"/>
    <mergeCell ref="K13:K14"/>
    <mergeCell ref="M13:N13"/>
    <mergeCell ref="O13:P13"/>
    <mergeCell ref="Q13:R13"/>
    <mergeCell ref="A13:B14"/>
    <mergeCell ref="C13:C14"/>
    <mergeCell ref="D13:D14"/>
    <mergeCell ref="E13:E14"/>
    <mergeCell ref="F13:F14"/>
    <mergeCell ref="G13:J13"/>
    <mergeCell ref="M12:R12"/>
    <mergeCell ref="A65:A69"/>
    <mergeCell ref="B65:B69"/>
    <mergeCell ref="A15:A61"/>
    <mergeCell ref="B15:B24"/>
    <mergeCell ref="B25:B34"/>
    <mergeCell ref="B35:B39"/>
    <mergeCell ref="B40:B61"/>
    <mergeCell ref="S13:S14"/>
    <mergeCell ref="AN9:AS10"/>
    <mergeCell ref="M9:S10"/>
    <mergeCell ref="AG9:AL10"/>
    <mergeCell ref="Z9:AE10"/>
    <mergeCell ref="W13:W14"/>
    <mergeCell ref="AI13:AJ13"/>
    <mergeCell ref="AK13:AL13"/>
    <mergeCell ref="AN14:AO14"/>
    <mergeCell ref="Z13:AA13"/>
    <mergeCell ref="AB13:AC13"/>
    <mergeCell ref="AD13:AE13"/>
    <mergeCell ref="AR13:AS13"/>
    <mergeCell ref="AP13:AQ13"/>
    <mergeCell ref="AN13:AO13"/>
    <mergeCell ref="AN15:AO15"/>
    <mergeCell ref="AP14:AQ14"/>
    <mergeCell ref="AP15:AQ15"/>
    <mergeCell ref="AR14:AS14"/>
    <mergeCell ref="AR15:AS15"/>
  </mergeCells>
  <conditionalFormatting sqref="S15:S61">
    <cfRule type="cellIs" dxfId="3" priority="1" operator="equal">
      <formula>1</formula>
    </cfRule>
  </conditionalFormatting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  <pageSetUpPr fitToPage="1"/>
  </sheetPr>
  <dimension ref="A1:IK16"/>
  <sheetViews>
    <sheetView showGridLines="0" zoomScale="70" zoomScaleNormal="70" workbookViewId="0">
      <selection activeCell="I29" sqref="I29"/>
    </sheetView>
  </sheetViews>
  <sheetFormatPr baseColWidth="10" defaultColWidth="11.42578125" defaultRowHeight="12.75" x14ac:dyDescent="0.2"/>
  <cols>
    <col min="1" max="1" width="42.140625" style="2" bestFit="1" customWidth="1"/>
    <col min="2" max="2" width="33" style="2" bestFit="1" customWidth="1"/>
    <col min="3" max="3" width="14.140625" style="2" customWidth="1"/>
    <col min="4" max="4" width="14.140625" style="2" bestFit="1" customWidth="1"/>
    <col min="5" max="17" width="14.140625" style="2" customWidth="1"/>
    <col min="18" max="18" width="13.28515625" style="2" customWidth="1"/>
    <col min="19" max="19" width="14.140625" style="2" bestFit="1" customWidth="1"/>
    <col min="20" max="20" width="14.140625" style="2" customWidth="1"/>
    <col min="21" max="21" width="12.28515625" style="2" customWidth="1"/>
    <col min="22" max="16384" width="11.42578125" style="2"/>
  </cols>
  <sheetData>
    <row r="1" spans="1:245" s="4" customFormat="1" x14ac:dyDescent="0.2">
      <c r="B1" s="3"/>
      <c r="G1" s="33" t="s">
        <v>202</v>
      </c>
      <c r="IJ1" s="2"/>
      <c r="IK1" s="2"/>
    </row>
    <row r="2" spans="1:245" s="4" customFormat="1" x14ac:dyDescent="0.2">
      <c r="B2" s="5"/>
      <c r="G2" s="33" t="s">
        <v>194</v>
      </c>
      <c r="IJ2" s="2"/>
      <c r="IK2" s="2"/>
    </row>
    <row r="3" spans="1:245" s="4" customFormat="1" x14ac:dyDescent="0.2">
      <c r="B3" s="2"/>
      <c r="IJ3" s="2"/>
      <c r="IK3" s="2"/>
    </row>
    <row r="4" spans="1:245" s="4" customFormat="1" ht="17.25" customHeight="1" x14ac:dyDescent="0.2">
      <c r="B4" s="2"/>
      <c r="C4" s="6"/>
      <c r="F4" s="6" t="s">
        <v>0</v>
      </c>
      <c r="G4" s="882" t="str">
        <f>+'B) Reajuste Tarifas y Ocupación'!F5</f>
        <v>BIENMAG</v>
      </c>
      <c r="H4" s="883"/>
      <c r="I4" s="6"/>
      <c r="J4" s="6"/>
      <c r="K4" s="6"/>
      <c r="L4" s="6"/>
      <c r="M4" s="6"/>
      <c r="N4" s="6"/>
      <c r="O4" s="6"/>
      <c r="P4" s="6"/>
      <c r="Q4" s="6"/>
      <c r="IA4" s="2"/>
      <c r="IB4" s="2"/>
      <c r="IC4" s="2"/>
      <c r="ID4" s="2"/>
      <c r="IE4" s="2"/>
      <c r="IF4" s="2"/>
    </row>
    <row r="5" spans="1:245" s="4" customFormat="1" x14ac:dyDescent="0.2">
      <c r="B5" s="2"/>
      <c r="C5" s="6"/>
      <c r="F5" s="6"/>
      <c r="G5" s="33"/>
      <c r="H5" s="33"/>
      <c r="I5" s="6"/>
      <c r="J5" s="6"/>
      <c r="K5" s="6"/>
      <c r="L5" s="6"/>
      <c r="M5" s="6"/>
      <c r="N5" s="6"/>
      <c r="O5" s="6"/>
      <c r="P5" s="6"/>
      <c r="Q5" s="6"/>
      <c r="IA5" s="2"/>
      <c r="IB5" s="2"/>
      <c r="IC5" s="2"/>
      <c r="ID5" s="2"/>
      <c r="IE5" s="2"/>
      <c r="IF5" s="2"/>
    </row>
    <row r="6" spans="1:245" s="4" customFormat="1" ht="15.75" x14ac:dyDescent="0.2">
      <c r="A6" s="743" t="s">
        <v>156</v>
      </c>
      <c r="B6" s="743"/>
      <c r="C6" s="743"/>
      <c r="D6" s="743"/>
      <c r="E6" s="68"/>
      <c r="F6" s="6"/>
      <c r="G6" s="33"/>
      <c r="H6" s="33"/>
      <c r="I6" s="6"/>
      <c r="J6" s="6"/>
      <c r="K6" s="6"/>
      <c r="L6" s="6"/>
      <c r="M6" s="6"/>
      <c r="N6" s="6"/>
      <c r="O6" s="6"/>
      <c r="P6" s="6"/>
      <c r="Q6" s="6"/>
      <c r="IA6" s="2"/>
      <c r="IB6" s="2"/>
      <c r="IC6" s="2"/>
      <c r="ID6" s="2"/>
      <c r="IE6" s="2"/>
      <c r="IF6" s="2"/>
    </row>
    <row r="7" spans="1:245" s="4" customFormat="1" ht="13.5" thickBot="1" x14ac:dyDescent="0.25"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HX7" s="2"/>
      <c r="HY7" s="2"/>
      <c r="HZ7" s="2"/>
      <c r="IA7" s="2"/>
      <c r="IB7" s="2"/>
      <c r="IC7" s="2"/>
      <c r="ID7" s="2"/>
      <c r="IE7" s="2"/>
      <c r="IF7" s="2"/>
    </row>
    <row r="8" spans="1:245" ht="16.5" customHeight="1" thickBot="1" x14ac:dyDescent="0.25">
      <c r="A8" s="887" t="s">
        <v>115</v>
      </c>
      <c r="B8" s="889" t="s">
        <v>5</v>
      </c>
      <c r="C8" s="732" t="s">
        <v>257</v>
      </c>
      <c r="D8" s="733"/>
      <c r="E8" s="733"/>
      <c r="F8" s="733"/>
      <c r="G8" s="734"/>
      <c r="H8" s="884" t="s">
        <v>253</v>
      </c>
      <c r="I8" s="885"/>
      <c r="J8" s="885"/>
      <c r="K8" s="885"/>
      <c r="L8" s="886"/>
      <c r="M8" s="880" t="s">
        <v>124</v>
      </c>
      <c r="N8" s="880"/>
      <c r="O8" s="880"/>
      <c r="P8" s="880"/>
      <c r="Q8" s="881"/>
      <c r="R8" s="880" t="s">
        <v>125</v>
      </c>
      <c r="S8" s="880"/>
      <c r="T8" s="880"/>
      <c r="U8" s="880"/>
      <c r="V8" s="881"/>
    </row>
    <row r="9" spans="1:245" ht="64.5" thickBot="1" x14ac:dyDescent="0.25">
      <c r="A9" s="888" t="e">
        <f>NA()</f>
        <v>#N/A</v>
      </c>
      <c r="B9" s="890" t="e">
        <f>NA()</f>
        <v>#N/A</v>
      </c>
      <c r="C9" s="267" t="s">
        <v>87</v>
      </c>
      <c r="D9" s="268" t="s">
        <v>135</v>
      </c>
      <c r="E9" s="268" t="s">
        <v>136</v>
      </c>
      <c r="F9" s="268" t="s">
        <v>88</v>
      </c>
      <c r="G9" s="269" t="s">
        <v>89</v>
      </c>
      <c r="H9" s="316" t="s">
        <v>87</v>
      </c>
      <c r="I9" s="317" t="s">
        <v>135</v>
      </c>
      <c r="J9" s="317" t="s">
        <v>136</v>
      </c>
      <c r="K9" s="317" t="s">
        <v>88</v>
      </c>
      <c r="L9" s="310" t="s">
        <v>89</v>
      </c>
      <c r="M9" s="309" t="s">
        <v>87</v>
      </c>
      <c r="N9" s="317" t="s">
        <v>135</v>
      </c>
      <c r="O9" s="317" t="s">
        <v>136</v>
      </c>
      <c r="P9" s="317" t="s">
        <v>88</v>
      </c>
      <c r="Q9" s="318" t="s">
        <v>89</v>
      </c>
      <c r="R9" s="319" t="s">
        <v>87</v>
      </c>
      <c r="S9" s="317" t="s">
        <v>135</v>
      </c>
      <c r="T9" s="317" t="s">
        <v>136</v>
      </c>
      <c r="U9" s="317" t="s">
        <v>88</v>
      </c>
      <c r="V9" s="310" t="s">
        <v>89</v>
      </c>
    </row>
    <row r="10" spans="1:245" x14ac:dyDescent="0.2">
      <c r="A10" s="877" t="str">
        <f>+'B) Reajuste Tarifas y Ocupación'!A12</f>
        <v>Jardín Infantil Mar y Cielo</v>
      </c>
      <c r="B10" s="644" t="str">
        <f>+'B) Reajuste Tarifas y Ocupación'!B12</f>
        <v>Media jornada</v>
      </c>
      <c r="C10" s="640">
        <f>+'B) Reajuste Tarifas y Ocupación'!M12</f>
        <v>104700</v>
      </c>
      <c r="D10" s="577">
        <f>+'B) Reajuste Tarifas y Ocupación'!N12</f>
        <v>141300</v>
      </c>
      <c r="E10" s="577">
        <f>+'B) Reajuste Tarifas y Ocupación'!O12</f>
        <v>146500</v>
      </c>
      <c r="F10" s="577">
        <f>+'B) Reajuste Tarifas y Ocupación'!P12</f>
        <v>163700</v>
      </c>
      <c r="G10" s="632">
        <f>+'B) Reajuste Tarifas y Ocupación'!Q12</f>
        <v>193500</v>
      </c>
      <c r="H10" s="583">
        <f>+'B) Reajuste Tarifas y Ocupación'!C12</f>
        <v>100100</v>
      </c>
      <c r="I10" s="584">
        <f>+'B) Reajuste Tarifas y Ocupación'!D12</f>
        <v>135100</v>
      </c>
      <c r="J10" s="584">
        <f>+'B) Reajuste Tarifas y Ocupación'!E12</f>
        <v>140100</v>
      </c>
      <c r="K10" s="584">
        <f>+'B) Reajuste Tarifas y Ocupación'!F12</f>
        <v>156600</v>
      </c>
      <c r="L10" s="637">
        <f>+'B) Reajuste Tarifas y Ocupación'!G12</f>
        <v>185100</v>
      </c>
      <c r="M10" s="634">
        <f t="shared" ref="M10:Q12" si="0">C10-H10</f>
        <v>4600</v>
      </c>
      <c r="N10" s="418">
        <f t="shared" si="0"/>
        <v>6200</v>
      </c>
      <c r="O10" s="418">
        <f t="shared" si="0"/>
        <v>6400</v>
      </c>
      <c r="P10" s="418">
        <f t="shared" si="0"/>
        <v>7100</v>
      </c>
      <c r="Q10" s="419">
        <f t="shared" si="0"/>
        <v>8400</v>
      </c>
      <c r="R10" s="420">
        <f>+'B) Reajuste Tarifas y Ocupación'!H12</f>
        <v>4.4999999999999998E-2</v>
      </c>
      <c r="S10" s="421">
        <f>+'B) Reajuste Tarifas y Ocupación'!I12</f>
        <v>4.4999999999999998E-2</v>
      </c>
      <c r="T10" s="421">
        <f>+'B) Reajuste Tarifas y Ocupación'!J12</f>
        <v>4.4999999999999998E-2</v>
      </c>
      <c r="U10" s="421">
        <f>+'B) Reajuste Tarifas y Ocupación'!K12</f>
        <v>4.4999999999999998E-2</v>
      </c>
      <c r="V10" s="586">
        <f>+'B) Reajuste Tarifas y Ocupación'!L12</f>
        <v>4.4999999999999998E-2</v>
      </c>
    </row>
    <row r="11" spans="1:245" x14ac:dyDescent="0.2">
      <c r="A11" s="878"/>
      <c r="B11" s="645" t="str">
        <f>+'B) Reajuste Tarifas y Ocupación'!B13</f>
        <v>Media Jornada extendida</v>
      </c>
      <c r="C11" s="641">
        <f>+'B) Reajuste Tarifas y Ocupación'!M13</f>
        <v>163500</v>
      </c>
      <c r="D11" s="557">
        <f>+'B) Reajuste Tarifas y Ocupación'!N13</f>
        <v>220700</v>
      </c>
      <c r="E11" s="557">
        <f>+'B) Reajuste Tarifas y Ocupación'!O13</f>
        <v>228900</v>
      </c>
      <c r="F11" s="557">
        <f>+'B) Reajuste Tarifas y Ocupación'!P13</f>
        <v>204300</v>
      </c>
      <c r="G11" s="633">
        <f>+'B) Reajuste Tarifas y Ocupación'!Q13</f>
        <v>245000</v>
      </c>
      <c r="H11" s="320">
        <f>+'B) Reajuste Tarifas y Ocupación'!C13</f>
        <v>156400</v>
      </c>
      <c r="I11" s="321">
        <f>+'B) Reajuste Tarifas y Ocupación'!D13</f>
        <v>211100</v>
      </c>
      <c r="J11" s="321">
        <f>+'B) Reajuste Tarifas y Ocupación'!E13</f>
        <v>218900</v>
      </c>
      <c r="K11" s="321">
        <f>+'B) Reajuste Tarifas y Ocupación'!F13</f>
        <v>195500</v>
      </c>
      <c r="L11" s="638">
        <f>+'B) Reajuste Tarifas y Ocupación'!G13</f>
        <v>234400</v>
      </c>
      <c r="M11" s="635">
        <f t="shared" ref="M11" si="1">C11-H11</f>
        <v>7100</v>
      </c>
      <c r="N11" s="322">
        <f t="shared" ref="N11" si="2">D11-I11</f>
        <v>9600</v>
      </c>
      <c r="O11" s="322">
        <f t="shared" ref="O11" si="3">E11-J11</f>
        <v>10000</v>
      </c>
      <c r="P11" s="322">
        <f t="shared" ref="P11" si="4">F11-K11</f>
        <v>8800</v>
      </c>
      <c r="Q11" s="422">
        <f t="shared" ref="Q11" si="5">G11-L11</f>
        <v>10600</v>
      </c>
      <c r="R11" s="323">
        <f>+'B) Reajuste Tarifas y Ocupación'!H13</f>
        <v>4.4999999999999998E-2</v>
      </c>
      <c r="S11" s="324">
        <f>+'B) Reajuste Tarifas y Ocupación'!I13</f>
        <v>4.4999999999999998E-2</v>
      </c>
      <c r="T11" s="324">
        <f>+'B) Reajuste Tarifas y Ocupación'!J13</f>
        <v>4.4999999999999998E-2</v>
      </c>
      <c r="U11" s="324">
        <f>+'B) Reajuste Tarifas y Ocupación'!K13</f>
        <v>4.4999999999999998E-2</v>
      </c>
      <c r="V11" s="325">
        <f>+'B) Reajuste Tarifas y Ocupación'!L13</f>
        <v>4.4999999999999998E-2</v>
      </c>
    </row>
    <row r="12" spans="1:245" x14ac:dyDescent="0.2">
      <c r="A12" s="878"/>
      <c r="B12" s="645" t="str">
        <f>+'B) Reajuste Tarifas y Ocupación'!B14</f>
        <v xml:space="preserve">Doble jornada </v>
      </c>
      <c r="C12" s="641">
        <f>+'B) Reajuste Tarifas y Ocupación'!M14</f>
        <v>147800</v>
      </c>
      <c r="D12" s="557">
        <f>+'B) Reajuste Tarifas y Ocupación'!N14</f>
        <v>199500</v>
      </c>
      <c r="E12" s="557">
        <f>+'B) Reajuste Tarifas y Ocupación'!O14</f>
        <v>206900</v>
      </c>
      <c r="F12" s="557">
        <f>+'B) Reajuste Tarifas y Ocupación'!P14</f>
        <v>221800</v>
      </c>
      <c r="G12" s="633">
        <f>+'B) Reajuste Tarifas y Ocupación'!Q14</f>
        <v>259900</v>
      </c>
      <c r="H12" s="320">
        <f>+'B) Reajuste Tarifas y Ocupación'!C14</f>
        <v>141400</v>
      </c>
      <c r="I12" s="321">
        <f>+'B) Reajuste Tarifas y Ocupación'!D14</f>
        <v>190900</v>
      </c>
      <c r="J12" s="321">
        <f>+'B) Reajuste Tarifas y Ocupación'!E14</f>
        <v>197900</v>
      </c>
      <c r="K12" s="321">
        <f>+'B) Reajuste Tarifas y Ocupación'!F14</f>
        <v>212200</v>
      </c>
      <c r="L12" s="638">
        <f>+'B) Reajuste Tarifas y Ocupación'!G14</f>
        <v>248700</v>
      </c>
      <c r="M12" s="635">
        <f t="shared" si="0"/>
        <v>6400</v>
      </c>
      <c r="N12" s="322">
        <f t="shared" si="0"/>
        <v>8600</v>
      </c>
      <c r="O12" s="322">
        <f t="shared" si="0"/>
        <v>9000</v>
      </c>
      <c r="P12" s="322">
        <f t="shared" si="0"/>
        <v>9600</v>
      </c>
      <c r="Q12" s="422">
        <f t="shared" si="0"/>
        <v>11200</v>
      </c>
      <c r="R12" s="323">
        <f>+'B) Reajuste Tarifas y Ocupación'!H14</f>
        <v>4.4999999999999998E-2</v>
      </c>
      <c r="S12" s="324">
        <f>+'B) Reajuste Tarifas y Ocupación'!I14</f>
        <v>4.4999999999999998E-2</v>
      </c>
      <c r="T12" s="324">
        <f>+'B) Reajuste Tarifas y Ocupación'!J14</f>
        <v>4.4999999999999998E-2</v>
      </c>
      <c r="U12" s="324">
        <f>+'B) Reajuste Tarifas y Ocupación'!K14</f>
        <v>4.4999999999999998E-2</v>
      </c>
      <c r="V12" s="325">
        <f>+'B) Reajuste Tarifas y Ocupación'!L14</f>
        <v>4.4999999999999998E-2</v>
      </c>
    </row>
    <row r="13" spans="1:245" ht="13.5" thickBot="1" x14ac:dyDescent="0.25">
      <c r="A13" s="879"/>
      <c r="B13" s="646" t="str">
        <f>+'B) Reajuste Tarifas y Ocupación'!B15</f>
        <v>Jornada completa</v>
      </c>
      <c r="C13" s="642">
        <f>+'B) Reajuste Tarifas y Ocupación'!M15</f>
        <v>222500</v>
      </c>
      <c r="D13" s="265">
        <f>+'B) Reajuste Tarifas y Ocupación'!N15</f>
        <v>300400</v>
      </c>
      <c r="E13" s="265">
        <f>+'B) Reajuste Tarifas y Ocupación'!O15</f>
        <v>311500</v>
      </c>
      <c r="F13" s="265">
        <f>+'B) Reajuste Tarifas y Ocupación'!P15</f>
        <v>278100</v>
      </c>
      <c r="G13" s="582">
        <f>+'B) Reajuste Tarifas y Ocupación'!Q15</f>
        <v>289200</v>
      </c>
      <c r="H13" s="326">
        <f>+'B) Reajuste Tarifas y Ocupación'!C15</f>
        <v>212900</v>
      </c>
      <c r="I13" s="327">
        <f>+'B) Reajuste Tarifas y Ocupación'!D15</f>
        <v>287400</v>
      </c>
      <c r="J13" s="327">
        <f>+'B) Reajuste Tarifas y Ocupación'!E15</f>
        <v>298000</v>
      </c>
      <c r="K13" s="327">
        <f>+'B) Reajuste Tarifas y Ocupación'!F15</f>
        <v>266100</v>
      </c>
      <c r="L13" s="639">
        <f>+'B) Reajuste Tarifas y Ocupación'!G15</f>
        <v>276700</v>
      </c>
      <c r="M13" s="636">
        <f t="shared" ref="M13" si="6">C13-H13</f>
        <v>9600</v>
      </c>
      <c r="N13" s="330">
        <f t="shared" ref="N13" si="7">D13-I13</f>
        <v>13000</v>
      </c>
      <c r="O13" s="330">
        <f t="shared" ref="O13" si="8">E13-J13</f>
        <v>13500</v>
      </c>
      <c r="P13" s="330">
        <f t="shared" ref="P13" si="9">F13-K13</f>
        <v>12000</v>
      </c>
      <c r="Q13" s="331">
        <f t="shared" ref="Q13" si="10">G13-L13</f>
        <v>12500</v>
      </c>
      <c r="R13" s="332">
        <f>+'B) Reajuste Tarifas y Ocupación'!H15</f>
        <v>4.4999999999999998E-2</v>
      </c>
      <c r="S13" s="333">
        <f>+'B) Reajuste Tarifas y Ocupación'!I15</f>
        <v>4.4999999999999998E-2</v>
      </c>
      <c r="T13" s="333">
        <f>+'B) Reajuste Tarifas y Ocupación'!J15</f>
        <v>4.4999999999999998E-2</v>
      </c>
      <c r="U13" s="333">
        <f>+'B) Reajuste Tarifas y Ocupación'!K15</f>
        <v>4.4999999999999998E-2</v>
      </c>
      <c r="V13" s="334">
        <f>+'B) Reajuste Tarifas y Ocupación'!L15</f>
        <v>4.4999999999999998E-2</v>
      </c>
    </row>
    <row r="14" spans="1:245" x14ac:dyDescent="0.2">
      <c r="A14" s="874" t="str">
        <f>+'B) Reajuste Tarifas y Ocupación'!A16</f>
        <v>Sala Cuna Mar y Cielo Diurna</v>
      </c>
      <c r="B14" s="643" t="str">
        <f>+'[1]B) Reajuste Tarifas y Ocupación'!B15</f>
        <v>Diurna</v>
      </c>
      <c r="C14" s="629">
        <f>+'B) Reajuste Tarifas y Ocupación'!M16</f>
        <v>437600</v>
      </c>
      <c r="D14" s="630">
        <f>+'B) Reajuste Tarifas y Ocupación'!N16</f>
        <v>590800</v>
      </c>
      <c r="E14" s="630">
        <f>+'B) Reajuste Tarifas y Ocupación'!O16</f>
        <v>612700</v>
      </c>
      <c r="F14" s="630">
        <f>+'B) Reajuste Tarifas y Ocupación'!P16</f>
        <v>547000</v>
      </c>
      <c r="G14" s="631">
        <f>+'B) Reajuste Tarifas y Ocupación'!Q16</f>
        <v>656300</v>
      </c>
      <c r="H14" s="622">
        <f>+'B) Reajuste Tarifas y Ocupación'!C16</f>
        <v>397800</v>
      </c>
      <c r="I14" s="623">
        <f>+'B) Reajuste Tarifas y Ocupación'!D16</f>
        <v>537000</v>
      </c>
      <c r="J14" s="623">
        <f>+'B) Reajuste Tarifas y Ocupación'!E16</f>
        <v>556900</v>
      </c>
      <c r="K14" s="623">
        <f>+'B) Reajuste Tarifas y Ocupación'!F16</f>
        <v>497200</v>
      </c>
      <c r="L14" s="624">
        <f>+'B) Reajuste Tarifas y Ocupación'!G16</f>
        <v>596600</v>
      </c>
      <c r="M14" s="280">
        <f t="shared" ref="M14" si="11">C14-H14</f>
        <v>39800</v>
      </c>
      <c r="N14" s="281">
        <f t="shared" ref="N14" si="12">D14-I14</f>
        <v>53800</v>
      </c>
      <c r="O14" s="281">
        <f t="shared" ref="O14" si="13">E14-J14</f>
        <v>55800</v>
      </c>
      <c r="P14" s="281">
        <f t="shared" ref="P14" si="14">F14-K14</f>
        <v>49800</v>
      </c>
      <c r="Q14" s="625">
        <f t="shared" ref="Q14" si="15">G14-L14</f>
        <v>59700</v>
      </c>
      <c r="R14" s="626">
        <f>+'B) Reajuste Tarifas y Ocupación'!H16</f>
        <v>0.1</v>
      </c>
      <c r="S14" s="627">
        <f>+'B) Reajuste Tarifas y Ocupación'!I16</f>
        <v>0.1</v>
      </c>
      <c r="T14" s="627">
        <f>+'B) Reajuste Tarifas y Ocupación'!J16</f>
        <v>0.1</v>
      </c>
      <c r="U14" s="627">
        <f>+'B) Reajuste Tarifas y Ocupación'!K16</f>
        <v>0.1</v>
      </c>
      <c r="V14" s="628">
        <f>+'B) Reajuste Tarifas y Ocupación'!L16</f>
        <v>0.1</v>
      </c>
    </row>
    <row r="15" spans="1:245" x14ac:dyDescent="0.2">
      <c r="A15" s="875"/>
      <c r="B15" s="394" t="str">
        <f>+'[1]B) Reajuste Tarifas y Ocupación'!B16</f>
        <v>Nocturna</v>
      </c>
      <c r="C15" s="395"/>
      <c r="D15" s="396"/>
      <c r="E15" s="396"/>
      <c r="F15" s="396"/>
      <c r="G15" s="581"/>
      <c r="H15" s="417"/>
      <c r="I15" s="397"/>
      <c r="J15" s="397"/>
      <c r="K15" s="397"/>
      <c r="L15" s="585"/>
      <c r="M15" s="398"/>
      <c r="N15" s="399"/>
      <c r="O15" s="399"/>
      <c r="P15" s="399"/>
      <c r="Q15" s="423"/>
      <c r="R15" s="398"/>
      <c r="S15" s="399"/>
      <c r="T15" s="399"/>
      <c r="U15" s="399"/>
      <c r="V15" s="424"/>
    </row>
    <row r="16" spans="1:245" ht="13.5" thickBot="1" x14ac:dyDescent="0.25">
      <c r="A16" s="876"/>
      <c r="B16" s="262" t="str">
        <f>+'[1]B) Reajuste Tarifas y Ocupación'!B17</f>
        <v>Media Jornada</v>
      </c>
      <c r="C16" s="264">
        <f>+'B) Reajuste Tarifas y Ocupación'!M18</f>
        <v>262800</v>
      </c>
      <c r="D16" s="265">
        <f>+'B) Reajuste Tarifas y Ocupación'!N18</f>
        <v>354800</v>
      </c>
      <c r="E16" s="265">
        <f>+'B) Reajuste Tarifas y Ocupación'!O18</f>
        <v>368000</v>
      </c>
      <c r="F16" s="265">
        <f>+'B) Reajuste Tarifas y Ocupación'!P18</f>
        <v>394000</v>
      </c>
      <c r="G16" s="582">
        <f>+'B) Reajuste Tarifas y Ocupación'!Q18</f>
        <v>525200</v>
      </c>
      <c r="H16" s="326">
        <f>+'B) Reajuste Tarifas y Ocupación'!C18</f>
        <v>238900</v>
      </c>
      <c r="I16" s="327">
        <f>+'B) Reajuste Tarifas y Ocupación'!D18</f>
        <v>322600</v>
      </c>
      <c r="J16" s="327">
        <f>+'B) Reajuste Tarifas y Ocupación'!E18</f>
        <v>334500</v>
      </c>
      <c r="K16" s="327">
        <f>+'B) Reajuste Tarifas y Ocupación'!F18</f>
        <v>358100</v>
      </c>
      <c r="L16" s="328">
        <f>+'B) Reajuste Tarifas y Ocupación'!G18</f>
        <v>477400</v>
      </c>
      <c r="M16" s="329">
        <f t="shared" ref="M16" si="16">C16-H16</f>
        <v>23900</v>
      </c>
      <c r="N16" s="330">
        <f t="shared" ref="N16" si="17">D16-I16</f>
        <v>32200</v>
      </c>
      <c r="O16" s="330">
        <f t="shared" ref="O16" si="18">E16-J16</f>
        <v>33500</v>
      </c>
      <c r="P16" s="330">
        <f t="shared" ref="P16" si="19">F16-K16</f>
        <v>35900</v>
      </c>
      <c r="Q16" s="331">
        <f t="shared" ref="Q16" si="20">G16-L16</f>
        <v>47800</v>
      </c>
      <c r="R16" s="332">
        <f>+'B) Reajuste Tarifas y Ocupación'!H18</f>
        <v>0.1</v>
      </c>
      <c r="S16" s="333">
        <f>+'B) Reajuste Tarifas y Ocupación'!I18</f>
        <v>0.1</v>
      </c>
      <c r="T16" s="333">
        <f>+'B) Reajuste Tarifas y Ocupación'!J18</f>
        <v>0.1</v>
      </c>
      <c r="U16" s="333">
        <f>+'B) Reajuste Tarifas y Ocupación'!K18</f>
        <v>0.1</v>
      </c>
      <c r="V16" s="334">
        <f>+'B) Reajuste Tarifas y Ocupación'!L18</f>
        <v>0.1</v>
      </c>
    </row>
  </sheetData>
  <sheetProtection algorithmName="SHA-512" hashValue="kWecM0dX1IMstk12KKS57g1WLhBQXKQkkIHtRd35VXdKU+AjQtPQT7ujd4lVFgbEl+TG78edlDlYp51a7sTObg==" saltValue="N1e/vAswtXiQpbVko6xdVA==" spinCount="100000" sheet="1" objects="1" scenarios="1"/>
  <mergeCells count="10">
    <mergeCell ref="A14:A16"/>
    <mergeCell ref="A10:A13"/>
    <mergeCell ref="R8:V8"/>
    <mergeCell ref="G4:H4"/>
    <mergeCell ref="H8:L8"/>
    <mergeCell ref="M8:Q8"/>
    <mergeCell ref="C8:G8"/>
    <mergeCell ref="A6:D6"/>
    <mergeCell ref="A8:A9"/>
    <mergeCell ref="B8:B9"/>
  </mergeCells>
  <conditionalFormatting sqref="H15:L15">
    <cfRule type="cellIs" dxfId="2" priority="1" operator="lessThan">
      <formula>0</formula>
    </cfRule>
  </conditionalFormatting>
  <conditionalFormatting sqref="M10:Q16">
    <cfRule type="cellIs" dxfId="1" priority="4" operator="lessThan">
      <formula>0</formula>
    </cfRule>
  </conditionalFormatting>
  <conditionalFormatting sqref="R15:V15">
    <cfRule type="cellIs" dxfId="0" priority="5" operator="lessThan">
      <formula>0</formula>
    </cfRule>
  </conditionalFormatting>
  <pageMargins left="0.75" right="0.75" top="1" bottom="0.64583333333333337" header="0" footer="0.51180555555555551"/>
  <pageSetup firstPageNumber="0" fitToHeight="14" orientation="landscape" horizontalDpi="300" verticalDpi="300" r:id="rId1"/>
  <headerFooter alignWithMargins="0">
    <oddHeader>&amp;LSEPT - 2004&amp;CDIRECTIVA D.B.S.A.ORDINARIA&amp;R02-BS0307/02Pag &amp;P de &amp;N/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B1:IY43"/>
  <sheetViews>
    <sheetView showGridLines="0" zoomScale="80" zoomScaleNormal="80" workbookViewId="0">
      <selection activeCell="K7" sqref="K7"/>
    </sheetView>
  </sheetViews>
  <sheetFormatPr baseColWidth="10" defaultColWidth="11.42578125" defaultRowHeight="12.75" x14ac:dyDescent="0.2"/>
  <cols>
    <col min="1" max="1" width="7.140625" style="20" customWidth="1"/>
    <col min="2" max="2" width="37.28515625" style="20" customWidth="1"/>
    <col min="3" max="3" width="28" style="20" customWidth="1"/>
    <col min="4" max="4" width="24.140625" style="20" customWidth="1"/>
    <col min="5" max="5" width="25.140625" style="20" customWidth="1"/>
    <col min="6" max="6" width="25.140625" style="20" bestFit="1" customWidth="1"/>
    <col min="7" max="7" width="14.85546875" style="20" customWidth="1"/>
    <col min="8" max="8" width="15" style="20" customWidth="1"/>
    <col min="9" max="9" width="15.140625" style="20" customWidth="1"/>
    <col min="10" max="10" width="17.42578125" style="20" customWidth="1"/>
    <col min="11" max="11" width="19.140625" style="20" customWidth="1"/>
    <col min="12" max="12" width="22.5703125" style="20" customWidth="1"/>
    <col min="13" max="13" width="27" style="20" customWidth="1"/>
    <col min="14" max="14" width="17.140625" style="20" customWidth="1"/>
    <col min="15" max="15" width="14.85546875" style="20" customWidth="1"/>
    <col min="16" max="16" width="17.7109375" style="20" customWidth="1"/>
    <col min="17" max="17" width="17.140625" style="20" customWidth="1"/>
    <col min="18" max="18" width="18.140625" style="20" customWidth="1"/>
    <col min="19" max="19" width="16.28515625" style="20" customWidth="1"/>
    <col min="20" max="20" width="15.85546875" style="20" customWidth="1"/>
    <col min="21" max="21" width="14.85546875" style="20" customWidth="1"/>
    <col min="22" max="22" width="15.85546875" style="20" customWidth="1"/>
    <col min="23" max="23" width="14.28515625" style="20" customWidth="1"/>
    <col min="24" max="24" width="14.85546875" style="20" customWidth="1"/>
    <col min="25" max="25" width="14.140625" style="20" customWidth="1"/>
    <col min="26" max="26" width="16.85546875" style="20" customWidth="1"/>
    <col min="27" max="27" width="17.42578125" style="20" customWidth="1"/>
    <col min="28" max="28" width="15.28515625" style="20" customWidth="1"/>
    <col min="29" max="29" width="19.7109375" style="20" customWidth="1"/>
    <col min="30" max="30" width="17.42578125" style="20" customWidth="1"/>
    <col min="31" max="31" width="12" style="20" customWidth="1"/>
    <col min="32" max="16384" width="11.42578125" style="20"/>
  </cols>
  <sheetData>
    <row r="1" spans="2:259" s="4" customFormat="1" x14ac:dyDescent="0.2">
      <c r="E1" s="33" t="s">
        <v>203</v>
      </c>
      <c r="F1" s="33"/>
      <c r="G1" s="33"/>
      <c r="H1" s="33"/>
      <c r="I1" s="33"/>
      <c r="IM1" s="2"/>
      <c r="IN1" s="2"/>
    </row>
    <row r="2" spans="2:259" s="4" customFormat="1" x14ac:dyDescent="0.2">
      <c r="E2" s="33" t="s">
        <v>195</v>
      </c>
      <c r="F2" s="33"/>
      <c r="G2" s="33"/>
      <c r="H2" s="33"/>
      <c r="I2" s="33"/>
      <c r="IM2" s="2"/>
      <c r="IN2" s="2"/>
    </row>
    <row r="3" spans="2:259" s="4" customFormat="1" x14ac:dyDescent="0.2">
      <c r="B3" s="16"/>
      <c r="ID3" s="2"/>
      <c r="IE3" s="2"/>
      <c r="IF3" s="2"/>
      <c r="IG3" s="2"/>
      <c r="IH3" s="2"/>
      <c r="II3" s="2"/>
    </row>
    <row r="4" spans="2:259" s="4" customFormat="1" ht="18.75" customHeight="1" x14ac:dyDescent="0.2">
      <c r="B4" s="16"/>
      <c r="D4" s="66" t="s">
        <v>0</v>
      </c>
      <c r="E4" s="120" t="str">
        <f>+'B) Reajuste Tarifas y Ocupación'!F5</f>
        <v>BIENMAG</v>
      </c>
      <c r="F4" s="44"/>
      <c r="G4" s="45"/>
      <c r="H4" s="45"/>
      <c r="I4" s="45"/>
      <c r="J4" s="45"/>
      <c r="N4" s="1"/>
      <c r="ID4" s="2"/>
      <c r="IE4" s="2"/>
      <c r="IF4" s="2"/>
      <c r="IG4" s="2"/>
      <c r="IH4" s="2"/>
      <c r="II4" s="2"/>
    </row>
    <row r="5" spans="2:259" s="4" customFormat="1" x14ac:dyDescent="0.2">
      <c r="B5" s="16"/>
      <c r="D5" s="6"/>
      <c r="E5" s="33"/>
      <c r="F5" s="33"/>
      <c r="G5" s="33"/>
      <c r="H5" s="33"/>
      <c r="I5" s="33"/>
      <c r="J5" s="33"/>
      <c r="N5" s="1"/>
      <c r="ID5" s="2"/>
      <c r="IE5" s="2"/>
      <c r="IF5" s="2"/>
      <c r="IG5" s="2"/>
      <c r="IH5" s="2"/>
      <c r="II5" s="2"/>
    </row>
    <row r="6" spans="2:259" s="4" customFormat="1" x14ac:dyDescent="0.2">
      <c r="B6" s="16"/>
      <c r="D6" s="6"/>
      <c r="E6" s="33"/>
      <c r="F6" s="33"/>
      <c r="G6" s="33"/>
      <c r="H6" s="33"/>
      <c r="I6" s="33"/>
      <c r="J6" s="33"/>
      <c r="N6" s="1"/>
      <c r="ID6" s="2"/>
      <c r="IE6" s="2"/>
      <c r="IF6" s="2"/>
      <c r="IG6" s="2"/>
      <c r="IH6" s="2"/>
      <c r="II6" s="2"/>
    </row>
    <row r="7" spans="2:259" s="4" customFormat="1" ht="15.75" x14ac:dyDescent="0.2">
      <c r="B7" s="763" t="s">
        <v>157</v>
      </c>
      <c r="C7" s="763"/>
      <c r="D7" s="763"/>
      <c r="E7" s="763"/>
      <c r="F7" s="67"/>
      <c r="I7" s="67"/>
      <c r="J7" s="46" t="s">
        <v>4</v>
      </c>
      <c r="K7" s="47">
        <v>4.4999999999999998E-2</v>
      </c>
      <c r="N7" s="1"/>
      <c r="ID7" s="2"/>
      <c r="IE7" s="2"/>
      <c r="IF7" s="2"/>
      <c r="IG7" s="2"/>
      <c r="IH7" s="2"/>
      <c r="II7" s="2"/>
    </row>
    <row r="8" spans="2:259" ht="13.5" thickBot="1" x14ac:dyDescent="0.25"/>
    <row r="9" spans="2:259" ht="12.75" customHeight="1" x14ac:dyDescent="0.2">
      <c r="B9" s="905" t="s">
        <v>115</v>
      </c>
      <c r="C9" s="907" t="s">
        <v>73</v>
      </c>
      <c r="D9" s="909" t="s">
        <v>74</v>
      </c>
      <c r="E9" s="902" t="s">
        <v>3</v>
      </c>
      <c r="F9" s="902" t="s">
        <v>82</v>
      </c>
      <c r="G9" s="870" t="s">
        <v>260</v>
      </c>
      <c r="H9" s="871"/>
      <c r="I9" s="871"/>
      <c r="J9" s="904"/>
      <c r="K9" s="897" t="s">
        <v>262</v>
      </c>
      <c r="L9" s="899" t="s">
        <v>116</v>
      </c>
      <c r="O9" s="19"/>
      <c r="P9" s="19"/>
      <c r="Q9" s="19"/>
      <c r="R9" s="19"/>
      <c r="S9" s="19"/>
      <c r="T9" s="19"/>
    </row>
    <row r="10" spans="2:259" ht="39" thickBot="1" x14ac:dyDescent="0.25">
      <c r="B10" s="906"/>
      <c r="C10" s="908"/>
      <c r="D10" s="910"/>
      <c r="E10" s="903"/>
      <c r="F10" s="903"/>
      <c r="G10" s="664" t="s">
        <v>210</v>
      </c>
      <c r="H10" s="664" t="s">
        <v>117</v>
      </c>
      <c r="I10" s="663" t="s">
        <v>118</v>
      </c>
      <c r="J10" s="664" t="s">
        <v>261</v>
      </c>
      <c r="K10" s="898"/>
      <c r="L10" s="900"/>
      <c r="M10"/>
      <c r="N10" s="39"/>
      <c r="O10" s="39"/>
      <c r="P10" s="14"/>
      <c r="Q10" s="14"/>
      <c r="R10" s="14"/>
      <c r="S10"/>
      <c r="T10" s="901"/>
      <c r="U10" s="901"/>
      <c r="V10" s="901"/>
      <c r="W10" s="901"/>
      <c r="X10"/>
    </row>
    <row r="11" spans="2:259" customFormat="1" x14ac:dyDescent="0.2">
      <c r="B11" s="891" t="str">
        <f>+'B) Reajuste Tarifas y Ocupación'!A12</f>
        <v>Jardín Infantil Mar y Cielo</v>
      </c>
      <c r="C11" s="348" t="s">
        <v>268</v>
      </c>
      <c r="D11" s="349" t="s">
        <v>266</v>
      </c>
      <c r="E11" s="349" t="s">
        <v>267</v>
      </c>
      <c r="F11" s="349" t="s">
        <v>206</v>
      </c>
      <c r="G11" s="370">
        <v>0</v>
      </c>
      <c r="H11" s="370">
        <v>0</v>
      </c>
      <c r="I11" s="370">
        <v>0</v>
      </c>
      <c r="J11" s="666">
        <f>SUM(G11:I11)</f>
        <v>0</v>
      </c>
      <c r="K11" s="662">
        <f>+J11*(1+$K$7)</f>
        <v>0</v>
      </c>
      <c r="L11" s="894">
        <f>SUM(K11:K25)</f>
        <v>23306635</v>
      </c>
      <c r="N11" s="25"/>
      <c r="O11" s="25"/>
      <c r="P11" s="40"/>
      <c r="Q11" s="40"/>
      <c r="R11" s="40"/>
      <c r="S11" s="22"/>
      <c r="T11" s="21"/>
      <c r="U11" s="21"/>
      <c r="V11" s="21"/>
      <c r="W11" s="21"/>
      <c r="X11" s="23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</row>
    <row r="12" spans="2:259" customFormat="1" x14ac:dyDescent="0.2">
      <c r="B12" s="892"/>
      <c r="C12" s="573" t="s">
        <v>269</v>
      </c>
      <c r="D12" s="353" t="s">
        <v>270</v>
      </c>
      <c r="E12" s="353" t="s">
        <v>271</v>
      </c>
      <c r="F12" s="353" t="s">
        <v>206</v>
      </c>
      <c r="G12" s="371">
        <v>0</v>
      </c>
      <c r="H12" s="371">
        <v>0</v>
      </c>
      <c r="I12" s="371">
        <v>0</v>
      </c>
      <c r="J12" s="667">
        <f>SUM(G12:I12)</f>
        <v>0</v>
      </c>
      <c r="K12" s="669">
        <f>+J12*(1+$K$7)</f>
        <v>0</v>
      </c>
      <c r="L12" s="895"/>
      <c r="N12" s="25"/>
      <c r="O12" s="25"/>
      <c r="P12" s="14"/>
      <c r="Q12" s="14"/>
      <c r="R12" s="14"/>
      <c r="S12" s="22"/>
      <c r="T12" s="21"/>
      <c r="U12" s="21"/>
      <c r="V12" s="21"/>
      <c r="W12" s="21"/>
      <c r="X12" s="23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</row>
    <row r="13" spans="2:259" customFormat="1" x14ac:dyDescent="0.2">
      <c r="B13" s="892"/>
      <c r="C13" s="573" t="s">
        <v>272</v>
      </c>
      <c r="D13" s="353" t="s">
        <v>264</v>
      </c>
      <c r="E13" s="353" t="s">
        <v>275</v>
      </c>
      <c r="F13" s="353" t="s">
        <v>206</v>
      </c>
      <c r="G13" s="371">
        <v>0</v>
      </c>
      <c r="H13" s="371">
        <v>0</v>
      </c>
      <c r="I13" s="371">
        <v>0</v>
      </c>
      <c r="J13" s="667">
        <f t="shared" ref="J13:J40" si="0">SUM(G13:I13)</f>
        <v>0</v>
      </c>
      <c r="K13" s="669">
        <f t="shared" ref="K13:K40" si="1">+J13*(1+$K$7)</f>
        <v>0</v>
      </c>
      <c r="L13" s="895"/>
      <c r="N13" s="25"/>
      <c r="O13" s="25"/>
      <c r="P13" s="14"/>
      <c r="Q13" s="14"/>
      <c r="R13" s="14"/>
      <c r="S13" s="22"/>
      <c r="T13" s="21"/>
      <c r="U13" s="21"/>
      <c r="V13" s="21"/>
      <c r="W13" s="21"/>
      <c r="X13" s="23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</row>
    <row r="14" spans="2:259" customFormat="1" x14ac:dyDescent="0.2">
      <c r="B14" s="892"/>
      <c r="C14" s="573" t="s">
        <v>273</v>
      </c>
      <c r="D14" s="353" t="s">
        <v>274</v>
      </c>
      <c r="E14" s="353" t="s">
        <v>276</v>
      </c>
      <c r="F14" s="353" t="s">
        <v>206</v>
      </c>
      <c r="G14" s="371">
        <v>0</v>
      </c>
      <c r="H14" s="371">
        <v>0</v>
      </c>
      <c r="I14" s="371">
        <v>0</v>
      </c>
      <c r="J14" s="667">
        <f t="shared" si="0"/>
        <v>0</v>
      </c>
      <c r="K14" s="669">
        <f t="shared" si="1"/>
        <v>0</v>
      </c>
      <c r="L14" s="895"/>
      <c r="N14" s="25"/>
      <c r="O14" s="25"/>
      <c r="P14" s="14"/>
      <c r="Q14" s="14"/>
      <c r="R14" s="14"/>
      <c r="S14" s="22"/>
      <c r="T14" s="21"/>
      <c r="U14" s="21"/>
      <c r="V14" s="21"/>
      <c r="W14" s="21"/>
      <c r="X14" s="23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</row>
    <row r="15" spans="2:259" customFormat="1" x14ac:dyDescent="0.2">
      <c r="B15" s="892"/>
      <c r="C15" s="573" t="s">
        <v>277</v>
      </c>
      <c r="D15" s="353" t="s">
        <v>278</v>
      </c>
      <c r="E15" s="353" t="s">
        <v>279</v>
      </c>
      <c r="F15" s="353" t="s">
        <v>206</v>
      </c>
      <c r="G15" s="371">
        <v>0</v>
      </c>
      <c r="H15" s="371">
        <v>0</v>
      </c>
      <c r="I15" s="371">
        <v>0</v>
      </c>
      <c r="J15" s="667">
        <f t="shared" si="0"/>
        <v>0</v>
      </c>
      <c r="K15" s="669">
        <f t="shared" si="1"/>
        <v>0</v>
      </c>
      <c r="L15" s="895"/>
      <c r="N15" s="25"/>
      <c r="O15" s="25"/>
      <c r="P15" s="14"/>
      <c r="Q15" s="14"/>
      <c r="R15" s="14"/>
      <c r="S15" s="22"/>
      <c r="T15" s="21"/>
      <c r="U15" s="21"/>
      <c r="V15" s="21"/>
      <c r="W15" s="21"/>
      <c r="X15" s="23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</row>
    <row r="16" spans="2:259" customFormat="1" x14ac:dyDescent="0.2">
      <c r="B16" s="892"/>
      <c r="C16" s="573" t="s">
        <v>280</v>
      </c>
      <c r="D16" s="353" t="s">
        <v>281</v>
      </c>
      <c r="E16" s="353" t="s">
        <v>279</v>
      </c>
      <c r="F16" s="353" t="s">
        <v>206</v>
      </c>
      <c r="G16" s="371">
        <v>0</v>
      </c>
      <c r="H16" s="371">
        <v>0</v>
      </c>
      <c r="I16" s="371">
        <v>0</v>
      </c>
      <c r="J16" s="667">
        <f t="shared" si="0"/>
        <v>0</v>
      </c>
      <c r="K16" s="669">
        <f t="shared" si="1"/>
        <v>0</v>
      </c>
      <c r="L16" s="895"/>
      <c r="N16" s="25"/>
      <c r="O16" s="25"/>
      <c r="P16" s="14"/>
      <c r="Q16" s="14"/>
      <c r="R16" s="14"/>
      <c r="S16" s="22"/>
      <c r="T16" s="21"/>
      <c r="U16" s="21"/>
      <c r="V16" s="21"/>
      <c r="W16" s="21"/>
      <c r="X16" s="23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</row>
    <row r="17" spans="2:259" customFormat="1" x14ac:dyDescent="0.2">
      <c r="B17" s="892"/>
      <c r="C17" s="573" t="s">
        <v>282</v>
      </c>
      <c r="D17" s="353" t="s">
        <v>283</v>
      </c>
      <c r="E17" s="353" t="s">
        <v>279</v>
      </c>
      <c r="F17" s="353" t="s">
        <v>206</v>
      </c>
      <c r="G17" s="371">
        <v>0</v>
      </c>
      <c r="H17" s="371">
        <v>0</v>
      </c>
      <c r="I17" s="371">
        <v>0</v>
      </c>
      <c r="J17" s="667">
        <f t="shared" si="0"/>
        <v>0</v>
      </c>
      <c r="K17" s="669">
        <f t="shared" si="1"/>
        <v>0</v>
      </c>
      <c r="L17" s="895"/>
      <c r="N17" s="25"/>
      <c r="O17" s="25"/>
      <c r="P17" s="14"/>
      <c r="Q17" s="14"/>
      <c r="R17" s="14"/>
      <c r="S17" s="22"/>
      <c r="T17" s="21"/>
      <c r="U17" s="21"/>
      <c r="V17" s="21"/>
      <c r="W17" s="21"/>
      <c r="X17" s="23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</row>
    <row r="18" spans="2:259" customFormat="1" x14ac:dyDescent="0.2">
      <c r="B18" s="892"/>
      <c r="C18" s="573" t="s">
        <v>285</v>
      </c>
      <c r="D18" s="353" t="s">
        <v>286</v>
      </c>
      <c r="E18" s="353" t="s">
        <v>279</v>
      </c>
      <c r="F18" s="353" t="s">
        <v>206</v>
      </c>
      <c r="G18" s="371">
        <v>0</v>
      </c>
      <c r="H18" s="371">
        <v>0</v>
      </c>
      <c r="I18" s="371">
        <v>0</v>
      </c>
      <c r="J18" s="667">
        <f>SUM(G18:I18)</f>
        <v>0</v>
      </c>
      <c r="K18" s="669">
        <f>+J18*(1+$K$7)</f>
        <v>0</v>
      </c>
      <c r="L18" s="895"/>
      <c r="N18" s="25"/>
      <c r="O18" s="25"/>
      <c r="P18" s="14"/>
      <c r="Q18" s="14"/>
      <c r="R18" s="14"/>
      <c r="S18" s="22"/>
      <c r="T18" s="21"/>
      <c r="U18" s="21"/>
      <c r="V18" s="21"/>
      <c r="W18" s="21"/>
      <c r="X18" s="23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</row>
    <row r="19" spans="2:259" customFormat="1" x14ac:dyDescent="0.2">
      <c r="B19" s="892"/>
      <c r="C19" s="573" t="s">
        <v>315</v>
      </c>
      <c r="D19" s="353" t="s">
        <v>225</v>
      </c>
      <c r="E19" s="353" t="s">
        <v>311</v>
      </c>
      <c r="F19" s="353" t="s">
        <v>206</v>
      </c>
      <c r="G19" s="371">
        <v>9527000</v>
      </c>
      <c r="H19" s="371">
        <v>213000</v>
      </c>
      <c r="I19" s="371">
        <v>0</v>
      </c>
      <c r="J19" s="667">
        <f t="shared" si="0"/>
        <v>9740000</v>
      </c>
      <c r="K19" s="669">
        <f t="shared" si="1"/>
        <v>10178300</v>
      </c>
      <c r="L19" s="895"/>
      <c r="N19" s="25"/>
      <c r="O19" s="25"/>
      <c r="P19" s="14"/>
      <c r="Q19" s="14"/>
      <c r="R19" s="14"/>
      <c r="S19" s="22"/>
      <c r="T19" s="21"/>
      <c r="U19" s="21"/>
      <c r="V19" s="21"/>
      <c r="W19" s="21"/>
      <c r="X19" s="23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</row>
    <row r="20" spans="2:259" customFormat="1" x14ac:dyDescent="0.2">
      <c r="B20" s="892"/>
      <c r="C20" s="573" t="s">
        <v>316</v>
      </c>
      <c r="D20" s="353" t="s">
        <v>225</v>
      </c>
      <c r="E20" s="353" t="s">
        <v>312</v>
      </c>
      <c r="F20" s="353" t="s">
        <v>206</v>
      </c>
      <c r="G20" s="371">
        <v>8400000</v>
      </c>
      <c r="H20" s="371">
        <v>213000</v>
      </c>
      <c r="I20" s="371">
        <v>0</v>
      </c>
      <c r="J20" s="667">
        <f t="shared" si="0"/>
        <v>8613000</v>
      </c>
      <c r="K20" s="669">
        <f t="shared" si="1"/>
        <v>9000585</v>
      </c>
      <c r="L20" s="895"/>
      <c r="N20" s="25"/>
      <c r="O20" s="25"/>
      <c r="P20" s="14"/>
      <c r="Q20" s="14"/>
      <c r="R20" s="14"/>
      <c r="S20" s="22"/>
      <c r="T20" s="21"/>
      <c r="U20" s="21"/>
      <c r="V20" s="21"/>
      <c r="W20" s="21"/>
      <c r="X20" s="23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</row>
    <row r="21" spans="2:259" customFormat="1" x14ac:dyDescent="0.2">
      <c r="B21" s="892"/>
      <c r="C21" s="573" t="s">
        <v>317</v>
      </c>
      <c r="D21" s="353" t="s">
        <v>264</v>
      </c>
      <c r="E21" s="353" t="s">
        <v>265</v>
      </c>
      <c r="F21" s="353" t="s">
        <v>206</v>
      </c>
      <c r="G21" s="371">
        <v>3708000</v>
      </c>
      <c r="H21" s="371">
        <v>159000</v>
      </c>
      <c r="I21" s="371">
        <v>83000</v>
      </c>
      <c r="J21" s="667">
        <f t="shared" si="0"/>
        <v>3950000</v>
      </c>
      <c r="K21" s="669">
        <f t="shared" si="1"/>
        <v>4127749.9999999995</v>
      </c>
      <c r="L21" s="895"/>
      <c r="N21" s="25"/>
      <c r="O21" s="25"/>
      <c r="P21" s="14"/>
      <c r="Q21" s="14"/>
      <c r="R21" s="14"/>
      <c r="S21" s="22"/>
      <c r="T21" s="21"/>
      <c r="U21" s="21"/>
      <c r="V21" s="21"/>
      <c r="W21" s="21"/>
      <c r="X21" s="23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</row>
    <row r="22" spans="2:259" customFormat="1" x14ac:dyDescent="0.2">
      <c r="B22" s="892"/>
      <c r="C22" s="573" t="s">
        <v>291</v>
      </c>
      <c r="D22" s="353" t="s">
        <v>292</v>
      </c>
      <c r="E22" s="353" t="s">
        <v>293</v>
      </c>
      <c r="F22" s="353" t="s">
        <v>206</v>
      </c>
      <c r="G22" s="371">
        <v>0</v>
      </c>
      <c r="H22" s="371">
        <v>0</v>
      </c>
      <c r="I22" s="371">
        <v>0</v>
      </c>
      <c r="J22" s="667">
        <f t="shared" si="0"/>
        <v>0</v>
      </c>
      <c r="K22" s="669">
        <f t="shared" si="1"/>
        <v>0</v>
      </c>
      <c r="L22" s="895"/>
      <c r="N22" s="25"/>
      <c r="O22" s="25"/>
      <c r="P22" s="14"/>
      <c r="Q22" s="14"/>
      <c r="R22" s="14"/>
      <c r="S22" s="22"/>
      <c r="T22" s="21"/>
      <c r="U22" s="21"/>
      <c r="V22" s="21"/>
      <c r="W22" s="21"/>
      <c r="X22" s="23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</row>
    <row r="23" spans="2:259" customFormat="1" x14ac:dyDescent="0.2">
      <c r="B23" s="892"/>
      <c r="C23" s="573"/>
      <c r="D23" s="353"/>
      <c r="E23" s="353"/>
      <c r="F23" s="353"/>
      <c r="G23" s="371">
        <v>0</v>
      </c>
      <c r="H23" s="371">
        <v>0</v>
      </c>
      <c r="I23" s="371">
        <v>0</v>
      </c>
      <c r="J23" s="667">
        <f t="shared" si="0"/>
        <v>0</v>
      </c>
      <c r="K23" s="669">
        <f t="shared" si="1"/>
        <v>0</v>
      </c>
      <c r="L23" s="895"/>
      <c r="N23" s="25"/>
      <c r="O23" s="25"/>
      <c r="P23" s="14"/>
      <c r="Q23" s="14"/>
      <c r="R23" s="14"/>
      <c r="S23" s="22"/>
      <c r="T23" s="21"/>
      <c r="U23" s="21"/>
      <c r="V23" s="21"/>
      <c r="W23" s="21"/>
      <c r="X23" s="23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</row>
    <row r="24" spans="2:259" customFormat="1" x14ac:dyDescent="0.2">
      <c r="B24" s="892"/>
      <c r="C24" s="573"/>
      <c r="D24" s="353"/>
      <c r="E24" s="353"/>
      <c r="F24" s="353"/>
      <c r="G24" s="371">
        <v>0</v>
      </c>
      <c r="H24" s="371">
        <v>0</v>
      </c>
      <c r="I24" s="371">
        <v>0</v>
      </c>
      <c r="J24" s="667">
        <f t="shared" si="0"/>
        <v>0</v>
      </c>
      <c r="K24" s="669">
        <f t="shared" si="1"/>
        <v>0</v>
      </c>
      <c r="L24" s="895"/>
      <c r="N24" s="25"/>
      <c r="O24" s="25"/>
      <c r="P24" s="14"/>
      <c r="Q24" s="14"/>
      <c r="R24" s="14"/>
      <c r="S24" s="22"/>
      <c r="T24" s="21"/>
      <c r="U24" s="21"/>
      <c r="V24" s="21"/>
      <c r="W24" s="21"/>
      <c r="X24" s="23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</row>
    <row r="25" spans="2:259" ht="13.5" thickBot="1" x14ac:dyDescent="0.25">
      <c r="B25" s="893"/>
      <c r="C25" s="356"/>
      <c r="D25" s="165"/>
      <c r="E25" s="165"/>
      <c r="F25" s="165"/>
      <c r="G25" s="665">
        <v>0</v>
      </c>
      <c r="H25" s="665">
        <v>0</v>
      </c>
      <c r="I25" s="665">
        <v>0</v>
      </c>
      <c r="J25" s="668">
        <f t="shared" si="0"/>
        <v>0</v>
      </c>
      <c r="K25" s="670">
        <f t="shared" si="1"/>
        <v>0</v>
      </c>
      <c r="L25" s="896"/>
      <c r="M25"/>
      <c r="N25" s="25"/>
      <c r="O25" s="25"/>
      <c r="P25" s="25"/>
      <c r="Q25" s="25"/>
      <c r="R25" s="25"/>
      <c r="S25" s="26"/>
      <c r="T25" s="25"/>
      <c r="U25" s="25"/>
      <c r="V25" s="25"/>
      <c r="W25" s="25"/>
      <c r="X25" s="27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  <c r="IH25" s="24"/>
      <c r="II25" s="24"/>
      <c r="IJ25" s="24"/>
      <c r="IK25" s="24"/>
      <c r="IL25" s="24"/>
      <c r="IM25" s="24"/>
      <c r="IN25" s="24"/>
      <c r="IO25" s="24"/>
      <c r="IP25" s="24"/>
      <c r="IQ25" s="24"/>
      <c r="IR25" s="24"/>
      <c r="IS25" s="24"/>
      <c r="IT25" s="24"/>
      <c r="IU25" s="24"/>
      <c r="IV25" s="24"/>
      <c r="IW25" s="24"/>
      <c r="IX25" s="24"/>
      <c r="IY25" s="24"/>
    </row>
    <row r="26" spans="2:259" x14ac:dyDescent="0.2">
      <c r="B26" s="891" t="str">
        <f>+'B) Reajuste Tarifas y Ocupación'!A16</f>
        <v>Sala Cuna Mar y Cielo Diurna</v>
      </c>
      <c r="C26" s="348" t="s">
        <v>287</v>
      </c>
      <c r="D26" s="349" t="s">
        <v>288</v>
      </c>
      <c r="E26" s="349" t="s">
        <v>289</v>
      </c>
      <c r="F26" s="349" t="s">
        <v>250</v>
      </c>
      <c r="G26" s="370">
        <v>0</v>
      </c>
      <c r="H26" s="370">
        <v>0</v>
      </c>
      <c r="I26" s="370">
        <v>0</v>
      </c>
      <c r="J26" s="666">
        <f t="shared" si="0"/>
        <v>0</v>
      </c>
      <c r="K26" s="662">
        <f t="shared" si="1"/>
        <v>0</v>
      </c>
      <c r="L26" s="894">
        <f>SUM(K26:K40)</f>
        <v>25472920</v>
      </c>
      <c r="M26" s="19"/>
      <c r="N26" s="19"/>
      <c r="O26" s="19"/>
      <c r="P26" s="25"/>
      <c r="Q26" s="25"/>
      <c r="R26" s="25"/>
      <c r="S26" s="28"/>
      <c r="T26" s="28"/>
      <c r="U26" s="29"/>
      <c r="V26" s="29"/>
    </row>
    <row r="27" spans="2:259" x14ac:dyDescent="0.2">
      <c r="B27" s="892"/>
      <c r="C27" s="573" t="s">
        <v>284</v>
      </c>
      <c r="D27" s="353" t="s">
        <v>290</v>
      </c>
      <c r="E27" s="353" t="s">
        <v>279</v>
      </c>
      <c r="F27" s="353" t="s">
        <v>250</v>
      </c>
      <c r="G27" s="371">
        <v>0</v>
      </c>
      <c r="H27" s="371">
        <v>0</v>
      </c>
      <c r="I27" s="371">
        <v>0</v>
      </c>
      <c r="J27" s="667">
        <f t="shared" si="0"/>
        <v>0</v>
      </c>
      <c r="K27" s="669">
        <f t="shared" si="1"/>
        <v>0</v>
      </c>
      <c r="L27" s="895"/>
      <c r="M27" s="19"/>
      <c r="N27" s="19"/>
      <c r="O27" s="19"/>
      <c r="P27" s="25"/>
      <c r="Q27" s="25"/>
      <c r="R27" s="25"/>
      <c r="S27" s="28"/>
      <c r="T27" s="28"/>
      <c r="U27" s="29"/>
      <c r="V27" s="29"/>
    </row>
    <row r="28" spans="2:259" x14ac:dyDescent="0.2">
      <c r="B28" s="892"/>
      <c r="C28" s="573" t="s">
        <v>318</v>
      </c>
      <c r="D28" s="353" t="s">
        <v>294</v>
      </c>
      <c r="E28" s="353" t="s">
        <v>217</v>
      </c>
      <c r="F28" s="353" t="s">
        <v>250</v>
      </c>
      <c r="G28" s="371">
        <v>10067000</v>
      </c>
      <c r="H28" s="371">
        <v>319000</v>
      </c>
      <c r="I28" s="371">
        <v>180000</v>
      </c>
      <c r="J28" s="667">
        <f t="shared" si="0"/>
        <v>10566000</v>
      </c>
      <c r="K28" s="669">
        <f t="shared" si="1"/>
        <v>11041470</v>
      </c>
      <c r="L28" s="895"/>
      <c r="M28" s="28"/>
      <c r="N28" s="28"/>
      <c r="O28" s="28"/>
      <c r="P28" s="28"/>
      <c r="Q28" s="28"/>
      <c r="R28" s="28"/>
      <c r="S28" s="28"/>
      <c r="T28" s="28"/>
      <c r="U28" s="29"/>
      <c r="V28" s="29"/>
    </row>
    <row r="29" spans="2:259" x14ac:dyDescent="0.2">
      <c r="B29" s="892"/>
      <c r="C29" s="573" t="s">
        <v>317</v>
      </c>
      <c r="D29" s="353" t="s">
        <v>264</v>
      </c>
      <c r="E29" s="353" t="s">
        <v>265</v>
      </c>
      <c r="F29" s="353" t="s">
        <v>250</v>
      </c>
      <c r="G29" s="371">
        <v>3708000</v>
      </c>
      <c r="H29" s="371">
        <v>160000</v>
      </c>
      <c r="I29" s="371">
        <v>83000</v>
      </c>
      <c r="J29" s="667">
        <f t="shared" si="0"/>
        <v>3951000</v>
      </c>
      <c r="K29" s="669">
        <f t="shared" si="1"/>
        <v>4128794.9999999995</v>
      </c>
      <c r="L29" s="895"/>
      <c r="M29" s="28"/>
      <c r="N29" s="28"/>
      <c r="O29" s="28"/>
      <c r="P29" s="28"/>
      <c r="Q29" s="28"/>
      <c r="R29" s="28"/>
      <c r="S29" s="28"/>
      <c r="T29" s="28"/>
      <c r="U29" s="29"/>
      <c r="V29" s="29"/>
    </row>
    <row r="30" spans="2:259" x14ac:dyDescent="0.2">
      <c r="B30" s="892"/>
      <c r="C30" s="573" t="s">
        <v>319</v>
      </c>
      <c r="D30" s="353" t="s">
        <v>313</v>
      </c>
      <c r="E30" s="353" t="s">
        <v>314</v>
      </c>
      <c r="F30" s="353" t="s">
        <v>250</v>
      </c>
      <c r="G30" s="371">
        <v>9360000</v>
      </c>
      <c r="H30" s="371">
        <v>319000</v>
      </c>
      <c r="I30" s="371">
        <v>180000</v>
      </c>
      <c r="J30" s="667">
        <f t="shared" si="0"/>
        <v>9859000</v>
      </c>
      <c r="K30" s="669">
        <f t="shared" si="1"/>
        <v>10302655</v>
      </c>
      <c r="L30" s="895"/>
      <c r="M30" s="28"/>
      <c r="N30" s="28"/>
      <c r="O30" s="28"/>
      <c r="P30" s="28"/>
      <c r="Q30" s="28"/>
      <c r="R30" s="28"/>
      <c r="S30" s="28"/>
      <c r="T30" s="28"/>
      <c r="U30" s="29"/>
      <c r="V30" s="29"/>
    </row>
    <row r="31" spans="2:259" x14ac:dyDescent="0.2">
      <c r="B31" s="892"/>
      <c r="C31" s="573"/>
      <c r="D31" s="353"/>
      <c r="E31" s="353"/>
      <c r="F31" s="353"/>
      <c r="G31" s="371">
        <v>0</v>
      </c>
      <c r="H31" s="371">
        <v>0</v>
      </c>
      <c r="I31" s="371">
        <v>0</v>
      </c>
      <c r="J31" s="667">
        <f t="shared" si="0"/>
        <v>0</v>
      </c>
      <c r="K31" s="669">
        <f t="shared" si="1"/>
        <v>0</v>
      </c>
      <c r="L31" s="895"/>
      <c r="M31" s="28"/>
      <c r="N31" s="28"/>
      <c r="O31" s="28"/>
      <c r="P31" s="28"/>
      <c r="Q31" s="28"/>
      <c r="R31" s="28"/>
      <c r="S31" s="28"/>
      <c r="T31" s="28"/>
      <c r="U31" s="29"/>
      <c r="V31" s="29"/>
    </row>
    <row r="32" spans="2:259" x14ac:dyDescent="0.2">
      <c r="B32" s="892"/>
      <c r="C32" s="573"/>
      <c r="D32" s="353"/>
      <c r="E32" s="353"/>
      <c r="F32" s="353"/>
      <c r="G32" s="371">
        <v>0</v>
      </c>
      <c r="H32" s="371">
        <v>0</v>
      </c>
      <c r="I32" s="371">
        <v>0</v>
      </c>
      <c r="J32" s="667">
        <f t="shared" si="0"/>
        <v>0</v>
      </c>
      <c r="K32" s="669">
        <f t="shared" si="1"/>
        <v>0</v>
      </c>
      <c r="L32" s="895"/>
      <c r="M32" s="28"/>
      <c r="N32" s="28"/>
      <c r="O32" s="28"/>
      <c r="P32" s="28"/>
      <c r="Q32" s="28"/>
      <c r="R32" s="28"/>
      <c r="S32" s="28"/>
      <c r="T32" s="28"/>
      <c r="U32" s="29"/>
      <c r="V32" s="29"/>
    </row>
    <row r="33" spans="2:22" x14ac:dyDescent="0.2">
      <c r="B33" s="892"/>
      <c r="C33" s="573"/>
      <c r="D33" s="353"/>
      <c r="E33" s="353"/>
      <c r="F33" s="353"/>
      <c r="G33" s="371">
        <v>0</v>
      </c>
      <c r="H33" s="371">
        <v>0</v>
      </c>
      <c r="I33" s="371">
        <v>0</v>
      </c>
      <c r="J33" s="667">
        <f t="shared" si="0"/>
        <v>0</v>
      </c>
      <c r="K33" s="669">
        <f t="shared" si="1"/>
        <v>0</v>
      </c>
      <c r="L33" s="895"/>
      <c r="M33" s="28"/>
      <c r="N33" s="28"/>
      <c r="O33" s="28"/>
      <c r="P33" s="28"/>
      <c r="Q33" s="28"/>
      <c r="R33" s="28"/>
      <c r="S33" s="28"/>
      <c r="T33" s="28"/>
      <c r="U33" s="29"/>
      <c r="V33" s="29"/>
    </row>
    <row r="34" spans="2:22" x14ac:dyDescent="0.2">
      <c r="B34" s="892"/>
      <c r="C34" s="573"/>
      <c r="D34" s="353"/>
      <c r="E34" s="353"/>
      <c r="F34" s="353"/>
      <c r="G34" s="371">
        <v>0</v>
      </c>
      <c r="H34" s="371">
        <v>0</v>
      </c>
      <c r="I34" s="371">
        <v>0</v>
      </c>
      <c r="J34" s="667">
        <f t="shared" si="0"/>
        <v>0</v>
      </c>
      <c r="K34" s="669">
        <f t="shared" si="1"/>
        <v>0</v>
      </c>
      <c r="L34" s="895"/>
    </row>
    <row r="35" spans="2:22" x14ac:dyDescent="0.2">
      <c r="B35" s="892"/>
      <c r="C35" s="573"/>
      <c r="D35" s="353"/>
      <c r="E35" s="353"/>
      <c r="F35" s="353"/>
      <c r="G35" s="371">
        <v>0</v>
      </c>
      <c r="H35" s="371">
        <v>0</v>
      </c>
      <c r="I35" s="371">
        <v>0</v>
      </c>
      <c r="J35" s="667">
        <f t="shared" si="0"/>
        <v>0</v>
      </c>
      <c r="K35" s="669">
        <f t="shared" si="1"/>
        <v>0</v>
      </c>
      <c r="L35" s="895"/>
    </row>
    <row r="36" spans="2:22" x14ac:dyDescent="0.2">
      <c r="B36" s="892"/>
      <c r="C36" s="573"/>
      <c r="D36" s="353"/>
      <c r="E36" s="353"/>
      <c r="F36" s="353"/>
      <c r="G36" s="371">
        <v>0</v>
      </c>
      <c r="H36" s="371">
        <v>0</v>
      </c>
      <c r="I36" s="371">
        <v>0</v>
      </c>
      <c r="J36" s="667">
        <f t="shared" si="0"/>
        <v>0</v>
      </c>
      <c r="K36" s="669">
        <f t="shared" si="1"/>
        <v>0</v>
      </c>
      <c r="L36" s="895"/>
    </row>
    <row r="37" spans="2:22" x14ac:dyDescent="0.2">
      <c r="B37" s="892"/>
      <c r="C37" s="573"/>
      <c r="D37" s="353"/>
      <c r="E37" s="353"/>
      <c r="F37" s="353"/>
      <c r="G37" s="371">
        <v>0</v>
      </c>
      <c r="H37" s="371">
        <v>0</v>
      </c>
      <c r="I37" s="371">
        <v>0</v>
      </c>
      <c r="J37" s="667">
        <f t="shared" si="0"/>
        <v>0</v>
      </c>
      <c r="K37" s="669">
        <f t="shared" si="1"/>
        <v>0</v>
      </c>
      <c r="L37" s="895"/>
    </row>
    <row r="38" spans="2:22" x14ac:dyDescent="0.2">
      <c r="B38" s="892"/>
      <c r="C38" s="573"/>
      <c r="D38" s="353"/>
      <c r="E38" s="353"/>
      <c r="F38" s="353"/>
      <c r="G38" s="371">
        <v>0</v>
      </c>
      <c r="H38" s="371">
        <v>0</v>
      </c>
      <c r="I38" s="371">
        <v>0</v>
      </c>
      <c r="J38" s="667">
        <f t="shared" si="0"/>
        <v>0</v>
      </c>
      <c r="K38" s="669">
        <f t="shared" si="1"/>
        <v>0</v>
      </c>
      <c r="L38" s="895"/>
    </row>
    <row r="39" spans="2:22" x14ac:dyDescent="0.2">
      <c r="B39" s="892"/>
      <c r="C39" s="573"/>
      <c r="D39" s="353"/>
      <c r="E39" s="353"/>
      <c r="F39" s="353"/>
      <c r="G39" s="371">
        <v>0</v>
      </c>
      <c r="H39" s="371">
        <v>0</v>
      </c>
      <c r="I39" s="371">
        <v>0</v>
      </c>
      <c r="J39" s="667">
        <f t="shared" si="0"/>
        <v>0</v>
      </c>
      <c r="K39" s="669">
        <f t="shared" si="1"/>
        <v>0</v>
      </c>
      <c r="L39" s="895"/>
    </row>
    <row r="40" spans="2:22" ht="13.5" thickBot="1" x14ac:dyDescent="0.25">
      <c r="B40" s="893"/>
      <c r="C40" s="356"/>
      <c r="D40" s="165"/>
      <c r="E40" s="165"/>
      <c r="F40" s="165"/>
      <c r="G40" s="665">
        <v>0</v>
      </c>
      <c r="H40" s="665">
        <v>0</v>
      </c>
      <c r="I40" s="665">
        <v>0</v>
      </c>
      <c r="J40" s="668">
        <f t="shared" si="0"/>
        <v>0</v>
      </c>
      <c r="K40" s="670">
        <f t="shared" si="1"/>
        <v>0</v>
      </c>
      <c r="L40" s="896"/>
    </row>
    <row r="41" spans="2:22" ht="16.5" thickBot="1" x14ac:dyDescent="0.25">
      <c r="B41" s="18"/>
      <c r="C41"/>
      <c r="D41"/>
      <c r="E41" s="34"/>
      <c r="F41" s="34"/>
      <c r="G41" s="34"/>
      <c r="H41" s="34"/>
      <c r="I41" s="34"/>
      <c r="J41" s="30"/>
      <c r="K41" s="315" t="s">
        <v>95</v>
      </c>
      <c r="L41" s="166">
        <f>SUM(L11:L40)</f>
        <v>48779555</v>
      </c>
    </row>
    <row r="42" spans="2:22" x14ac:dyDescent="0.2">
      <c r="B42" s="18"/>
      <c r="C42"/>
      <c r="D42"/>
      <c r="E42" s="34"/>
      <c r="F42" s="34"/>
      <c r="G42" s="34"/>
      <c r="H42" s="34"/>
      <c r="I42" s="34"/>
      <c r="J42" s="30"/>
      <c r="K42" s="30"/>
      <c r="L42" s="30"/>
    </row>
    <row r="43" spans="2:22" x14ac:dyDescent="0.2">
      <c r="B43" s="18"/>
      <c r="C43" s="18"/>
      <c r="D43" s="18"/>
      <c r="E43" s="18"/>
      <c r="F43" s="18"/>
      <c r="G43" s="18"/>
      <c r="H43" s="18"/>
      <c r="I43" s="18"/>
      <c r="J43" s="28"/>
      <c r="K43" s="28"/>
      <c r="L43" s="28"/>
    </row>
  </sheetData>
  <sheetProtection algorithmName="SHA-512" hashValue="fi7UvMh85CfpF2xOjMrNRdbh721bXt7E+x/D0dNOt10/LadVEVLZuAJLx3Sy6ztlsHf75DtYXe6wFD96wij8GQ==" saltValue="16ZGFPCXnzZVZRDKUx2IDw==" spinCount="100000" sheet="1" objects="1" scenarios="1"/>
  <mergeCells count="14">
    <mergeCell ref="B7:E7"/>
    <mergeCell ref="B9:B10"/>
    <mergeCell ref="C9:C10"/>
    <mergeCell ref="D9:D10"/>
    <mergeCell ref="E9:E10"/>
    <mergeCell ref="B26:B40"/>
    <mergeCell ref="L26:L40"/>
    <mergeCell ref="K9:K10"/>
    <mergeCell ref="L9:L10"/>
    <mergeCell ref="T10:W10"/>
    <mergeCell ref="B11:B25"/>
    <mergeCell ref="L11:L25"/>
    <mergeCell ref="F9:F10"/>
    <mergeCell ref="G9:J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2" tint="-0.499984740745262"/>
  </sheetPr>
  <dimension ref="A1:V75"/>
  <sheetViews>
    <sheetView showGridLines="0" zoomScale="110" zoomScaleNormal="110" workbookViewId="0">
      <selection activeCell="B26" sqref="B26"/>
    </sheetView>
  </sheetViews>
  <sheetFormatPr baseColWidth="10" defaultColWidth="11.42578125" defaultRowHeight="12.75" x14ac:dyDescent="0.2"/>
  <cols>
    <col min="1" max="9" width="11.42578125" style="60"/>
    <col min="10" max="11" width="13.28515625" style="60" customWidth="1"/>
    <col min="12" max="16384" width="11.42578125" style="60"/>
  </cols>
  <sheetData>
    <row r="1" spans="1:20" x14ac:dyDescent="0.2">
      <c r="J1" s="210"/>
      <c r="K1" s="213"/>
    </row>
    <row r="2" spans="1:20" x14ac:dyDescent="0.2">
      <c r="A2" s="446"/>
      <c r="B2" s="446"/>
      <c r="C2" s="446"/>
      <c r="D2" s="446"/>
      <c r="E2" s="446"/>
      <c r="F2" s="446"/>
      <c r="G2" s="446"/>
      <c r="H2" s="446"/>
      <c r="I2" s="446"/>
      <c r="J2" s="447" t="s">
        <v>197</v>
      </c>
      <c r="K2" s="448"/>
      <c r="L2" s="446"/>
      <c r="M2" s="446"/>
      <c r="N2" s="446"/>
      <c r="O2" s="446"/>
      <c r="P2" s="446"/>
      <c r="Q2" s="446"/>
    </row>
    <row r="3" spans="1:20" x14ac:dyDescent="0.2">
      <c r="A3" s="446"/>
      <c r="B3" s="446"/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  <c r="O3" s="446"/>
      <c r="P3" s="446"/>
      <c r="Q3" s="446"/>
    </row>
    <row r="4" spans="1:20" ht="19.5" customHeight="1" x14ac:dyDescent="0.2">
      <c r="A4" s="446"/>
      <c r="B4" s="446"/>
      <c r="C4" s="446"/>
      <c r="D4" s="446"/>
      <c r="E4" s="446"/>
      <c r="F4" s="446"/>
      <c r="G4" s="446"/>
      <c r="H4" s="446"/>
      <c r="I4" s="449" t="s">
        <v>0</v>
      </c>
      <c r="J4" s="914" t="str">
        <f>+'B) Reajuste Tarifas y Ocupación'!F5</f>
        <v>BIENMAG</v>
      </c>
      <c r="K4" s="915"/>
      <c r="L4" s="446"/>
      <c r="M4" s="446"/>
      <c r="N4" s="446"/>
      <c r="O4" s="446"/>
      <c r="P4" s="446"/>
      <c r="Q4" s="446"/>
    </row>
    <row r="5" spans="1:20" x14ac:dyDescent="0.2">
      <c r="A5" s="446"/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446"/>
      <c r="O5" s="446"/>
      <c r="P5" s="446"/>
      <c r="Q5" s="446"/>
    </row>
    <row r="6" spans="1:20" ht="12.75" customHeight="1" x14ac:dyDescent="0.2">
      <c r="A6" s="450" t="s">
        <v>123</v>
      </c>
      <c r="B6" s="451"/>
      <c r="C6" s="451"/>
      <c r="D6" s="451"/>
      <c r="E6" s="451"/>
      <c r="F6" s="451"/>
      <c r="G6" s="451"/>
      <c r="H6" s="451"/>
      <c r="I6" s="451"/>
      <c r="J6" s="451"/>
      <c r="K6" s="451"/>
      <c r="L6" s="451"/>
      <c r="M6" s="451"/>
      <c r="N6" s="451"/>
      <c r="O6" s="451"/>
      <c r="P6" s="451"/>
      <c r="Q6" s="446"/>
    </row>
    <row r="7" spans="1:20" x14ac:dyDescent="0.2">
      <c r="A7" s="451"/>
      <c r="B7" s="451"/>
      <c r="C7" s="451"/>
      <c r="D7" s="451"/>
      <c r="E7" s="451"/>
      <c r="F7" s="451"/>
      <c r="G7" s="451"/>
      <c r="H7" s="451"/>
      <c r="I7" s="451"/>
      <c r="J7" s="451"/>
      <c r="K7" s="451"/>
      <c r="L7" s="451"/>
      <c r="M7" s="451"/>
      <c r="N7" s="451"/>
      <c r="O7" s="451"/>
      <c r="P7" s="451"/>
      <c r="Q7" s="446"/>
    </row>
    <row r="8" spans="1:20" x14ac:dyDescent="0.2">
      <c r="A8" s="446"/>
      <c r="B8" s="446"/>
      <c r="C8" s="446"/>
      <c r="D8" s="446"/>
      <c r="E8" s="446"/>
      <c r="F8" s="446"/>
      <c r="G8" s="446"/>
      <c r="H8" s="446"/>
      <c r="I8" s="446"/>
      <c r="J8" s="446"/>
      <c r="K8" s="446"/>
      <c r="L8" s="446"/>
      <c r="M8" s="446"/>
      <c r="N8" s="446"/>
      <c r="O8" s="446"/>
      <c r="P8" s="446"/>
      <c r="Q8" s="446"/>
    </row>
    <row r="9" spans="1:20" x14ac:dyDescent="0.2">
      <c r="A9" s="921" t="s">
        <v>310</v>
      </c>
      <c r="B9" s="922"/>
      <c r="C9" s="922"/>
      <c r="D9" s="922"/>
      <c r="E9" s="922"/>
      <c r="F9" s="922"/>
      <c r="G9" s="922"/>
      <c r="H9" s="922"/>
      <c r="I9" s="922"/>
      <c r="J9" s="922"/>
      <c r="K9" s="922"/>
      <c r="L9" s="922"/>
      <c r="M9" s="923"/>
      <c r="N9" s="680"/>
      <c r="O9" s="680"/>
    </row>
    <row r="10" spans="1:20" ht="15.75" customHeight="1" x14ac:dyDescent="0.2">
      <c r="A10" s="924"/>
      <c r="B10" s="925"/>
      <c r="C10" s="925"/>
      <c r="D10" s="925"/>
      <c r="E10" s="925"/>
      <c r="F10" s="925"/>
      <c r="G10" s="925"/>
      <c r="H10" s="925"/>
      <c r="I10" s="925"/>
      <c r="J10" s="925"/>
      <c r="K10" s="925"/>
      <c r="L10" s="925"/>
      <c r="M10" s="926"/>
      <c r="N10" s="680"/>
      <c r="O10" s="680"/>
    </row>
    <row r="11" spans="1:20" ht="15.75" customHeight="1" x14ac:dyDescent="0.2">
      <c r="A11" s="684" t="s">
        <v>337</v>
      </c>
      <c r="B11" s="685"/>
      <c r="C11" s="685"/>
      <c r="D11" s="685"/>
      <c r="E11" s="685"/>
      <c r="F11" s="685"/>
      <c r="G11" s="685"/>
      <c r="H11" s="685"/>
      <c r="I11" s="685"/>
      <c r="J11" s="685"/>
      <c r="K11" s="685"/>
      <c r="L11" s="685"/>
      <c r="M11" s="685"/>
      <c r="N11" s="685"/>
      <c r="O11" s="685"/>
      <c r="P11" s="681"/>
    </row>
    <row r="12" spans="1:20" x14ac:dyDescent="0.2">
      <c r="A12" s="682"/>
      <c r="B12" s="686"/>
      <c r="C12" s="686"/>
      <c r="D12" s="686"/>
      <c r="E12" s="686"/>
      <c r="F12" s="686"/>
      <c r="G12" s="686"/>
      <c r="H12" s="686"/>
      <c r="I12" s="686"/>
      <c r="J12" s="686"/>
      <c r="K12" s="686"/>
      <c r="L12" s="686"/>
      <c r="M12" s="686"/>
      <c r="N12" s="686"/>
      <c r="O12" s="686"/>
      <c r="P12" s="683"/>
    </row>
    <row r="13" spans="1:20" x14ac:dyDescent="0.2">
      <c r="A13" s="918" t="s">
        <v>338</v>
      </c>
      <c r="B13" s="918"/>
      <c r="C13" s="918"/>
      <c r="D13" s="918"/>
      <c r="E13" s="918"/>
      <c r="F13" s="918"/>
      <c r="G13" s="918"/>
      <c r="H13" s="918"/>
      <c r="I13" s="918"/>
      <c r="J13" s="671"/>
      <c r="K13" s="61"/>
      <c r="L13" s="61"/>
      <c r="M13" s="61"/>
      <c r="N13" s="61"/>
      <c r="O13" s="61"/>
      <c r="P13" s="61"/>
      <c r="Q13" s="61"/>
    </row>
    <row r="14" spans="1:20" x14ac:dyDescent="0.2">
      <c r="A14" s="919"/>
      <c r="B14" s="919"/>
      <c r="C14" s="919"/>
      <c r="D14" s="919"/>
      <c r="E14" s="919"/>
      <c r="F14" s="919"/>
      <c r="G14" s="919"/>
      <c r="H14" s="919"/>
      <c r="I14" s="919"/>
      <c r="J14" s="671"/>
      <c r="K14" s="337"/>
      <c r="L14" s="337"/>
      <c r="M14" s="337"/>
      <c r="N14" s="338"/>
      <c r="O14" s="339"/>
      <c r="P14" s="339"/>
      <c r="Q14" s="339"/>
    </row>
    <row r="15" spans="1:20" x14ac:dyDescent="0.2">
      <c r="L15" s="679"/>
      <c r="M15" s="679"/>
      <c r="N15" s="679"/>
      <c r="O15" s="679"/>
      <c r="P15" s="679"/>
      <c r="Q15" s="679"/>
      <c r="R15" s="679"/>
      <c r="S15" s="679"/>
      <c r="T15" s="679"/>
    </row>
    <row r="16" spans="1:20" x14ac:dyDescent="0.2">
      <c r="L16" s="679"/>
      <c r="M16" s="679"/>
      <c r="N16" s="679"/>
      <c r="O16" s="679"/>
      <c r="P16" s="679"/>
      <c r="Q16" s="679"/>
      <c r="R16" s="679"/>
      <c r="S16" s="679"/>
      <c r="T16" s="679"/>
    </row>
    <row r="17" spans="1:17" x14ac:dyDescent="0.2">
      <c r="A17" s="919" t="s">
        <v>339</v>
      </c>
      <c r="B17" s="920"/>
      <c r="C17" s="920"/>
      <c r="D17" s="920"/>
      <c r="E17" s="920"/>
      <c r="F17" s="920"/>
      <c r="G17" s="920"/>
      <c r="H17" s="920"/>
      <c r="I17" s="920"/>
      <c r="J17" s="342"/>
      <c r="K17" s="342"/>
      <c r="L17" s="342"/>
      <c r="M17" s="342"/>
      <c r="N17" s="342"/>
      <c r="O17" s="342"/>
      <c r="P17" s="342"/>
      <c r="Q17" s="342"/>
    </row>
    <row r="18" spans="1:17" x14ac:dyDescent="0.2">
      <c r="A18" s="920"/>
      <c r="B18" s="920"/>
      <c r="C18" s="920"/>
      <c r="D18" s="920"/>
      <c r="E18" s="920"/>
      <c r="F18" s="920"/>
      <c r="G18" s="920"/>
      <c r="H18" s="920"/>
      <c r="I18" s="920"/>
      <c r="J18" s="342"/>
      <c r="K18" s="342"/>
      <c r="L18" s="342"/>
      <c r="M18" s="342"/>
      <c r="N18" s="342"/>
      <c r="O18" s="342"/>
      <c r="P18" s="342"/>
      <c r="Q18" s="342"/>
    </row>
    <row r="19" spans="1:17" ht="6.75" customHeight="1" x14ac:dyDescent="0.2">
      <c r="A19" s="343"/>
      <c r="B19" s="368"/>
      <c r="C19" s="342"/>
      <c r="D19" s="342"/>
      <c r="F19" s="433"/>
      <c r="G19" s="434"/>
      <c r="H19" s="432"/>
      <c r="I19" s="435"/>
      <c r="J19" s="342"/>
      <c r="K19" s="342"/>
      <c r="L19" s="342"/>
      <c r="M19" s="342"/>
      <c r="N19" s="342"/>
      <c r="O19" s="342"/>
      <c r="P19" s="342"/>
      <c r="Q19" s="342"/>
    </row>
    <row r="20" spans="1:17" x14ac:dyDescent="0.2">
      <c r="A20" s="343"/>
      <c r="B20" s="917" t="s">
        <v>307</v>
      </c>
      <c r="C20" s="917"/>
      <c r="D20" s="342"/>
      <c r="E20" s="342"/>
      <c r="F20" s="342"/>
      <c r="G20" s="342"/>
      <c r="H20" s="341"/>
      <c r="I20" s="342"/>
      <c r="J20" s="342"/>
      <c r="K20" s="342"/>
      <c r="L20" s="342"/>
      <c r="M20" s="342"/>
      <c r="N20" s="342"/>
      <c r="O20" s="342"/>
      <c r="P20" s="342"/>
      <c r="Q20" s="342"/>
    </row>
    <row r="21" spans="1:17" ht="24" customHeight="1" x14ac:dyDescent="0.2">
      <c r="B21" s="917"/>
      <c r="C21" s="917"/>
      <c r="E21" s="436"/>
      <c r="F21" s="437"/>
      <c r="G21" s="437"/>
      <c r="H21" s="437"/>
      <c r="I21" s="437"/>
      <c r="J21" s="336"/>
    </row>
    <row r="22" spans="1:17" x14ac:dyDescent="0.2">
      <c r="B22" s="438"/>
      <c r="E22" s="439"/>
      <c r="F22" s="439"/>
      <c r="G22" s="439"/>
      <c r="H22" s="439"/>
      <c r="I22" s="439"/>
      <c r="J22" s="440"/>
    </row>
    <row r="23" spans="1:17" ht="25.5" x14ac:dyDescent="0.2">
      <c r="A23" s="672" t="s">
        <v>295</v>
      </c>
      <c r="B23" s="673" t="s">
        <v>296</v>
      </c>
      <c r="C23" s="673" t="s">
        <v>297</v>
      </c>
      <c r="D23" s="673" t="s">
        <v>298</v>
      </c>
      <c r="E23" s="439"/>
      <c r="F23" s="439"/>
      <c r="G23" s="439"/>
      <c r="H23" s="439"/>
      <c r="I23" s="439"/>
      <c r="J23" s="440"/>
    </row>
    <row r="24" spans="1:17" ht="25.5" x14ac:dyDescent="0.2">
      <c r="A24" s="674" t="s">
        <v>299</v>
      </c>
      <c r="B24" s="675">
        <v>13</v>
      </c>
      <c r="C24" s="675">
        <v>14</v>
      </c>
      <c r="D24" s="676" t="s">
        <v>300</v>
      </c>
      <c r="E24" s="439"/>
      <c r="F24" s="439"/>
      <c r="G24" s="439"/>
      <c r="H24" s="439"/>
      <c r="I24" s="439"/>
      <c r="J24" s="440"/>
    </row>
    <row r="25" spans="1:17" ht="26.25" x14ac:dyDescent="0.25">
      <c r="A25" s="677" t="s">
        <v>301</v>
      </c>
      <c r="B25" s="675">
        <v>17</v>
      </c>
      <c r="C25" s="675">
        <v>25</v>
      </c>
      <c r="D25" s="675" t="s">
        <v>302</v>
      </c>
      <c r="E25" s="344"/>
      <c r="J25" s="441"/>
    </row>
    <row r="26" spans="1:17" ht="25.5" x14ac:dyDescent="0.2">
      <c r="A26" s="675" t="s">
        <v>303</v>
      </c>
      <c r="B26" s="675">
        <v>15</v>
      </c>
      <c r="C26" s="675">
        <v>25</v>
      </c>
      <c r="D26" s="675" t="s">
        <v>304</v>
      </c>
      <c r="E26" s="344"/>
    </row>
    <row r="27" spans="1:17" ht="25.5" x14ac:dyDescent="0.2">
      <c r="A27" s="675" t="s">
        <v>305</v>
      </c>
      <c r="B27" s="675">
        <v>18</v>
      </c>
      <c r="C27" s="675">
        <v>25</v>
      </c>
      <c r="D27" s="675" t="s">
        <v>304</v>
      </c>
      <c r="E27" s="437"/>
      <c r="F27" s="437"/>
      <c r="G27" s="437"/>
      <c r="H27" s="437"/>
      <c r="I27" s="437"/>
      <c r="J27" s="336"/>
    </row>
    <row r="28" spans="1:17" ht="25.5" x14ac:dyDescent="0.2">
      <c r="A28" s="675" t="s">
        <v>340</v>
      </c>
      <c r="B28" s="675"/>
      <c r="C28" s="675"/>
      <c r="D28" s="675" t="s">
        <v>341</v>
      </c>
      <c r="E28" s="437"/>
      <c r="F28" s="437"/>
      <c r="G28" s="437"/>
      <c r="H28" s="437"/>
      <c r="I28" s="437"/>
      <c r="J28" s="336"/>
    </row>
    <row r="29" spans="1:17" x14ac:dyDescent="0.2">
      <c r="A29" s="678" t="s">
        <v>306</v>
      </c>
      <c r="B29" s="678">
        <f>SUM(B24:B27)</f>
        <v>63</v>
      </c>
      <c r="C29" s="678">
        <v>89</v>
      </c>
      <c r="D29" s="678">
        <v>11</v>
      </c>
      <c r="E29" s="344"/>
    </row>
    <row r="30" spans="1:17" x14ac:dyDescent="0.2">
      <c r="E30" s="344"/>
    </row>
    <row r="31" spans="1:17" x14ac:dyDescent="0.2">
      <c r="A31" s="345"/>
      <c r="B31" s="345"/>
      <c r="C31" s="442"/>
      <c r="E31" s="344"/>
    </row>
    <row r="32" spans="1:17" ht="15.75" x14ac:dyDescent="0.25">
      <c r="E32" s="344"/>
      <c r="F32" s="344"/>
      <c r="G32" s="344"/>
      <c r="H32" s="344"/>
      <c r="I32" s="344"/>
      <c r="J32" s="441"/>
    </row>
    <row r="35" spans="1:22" x14ac:dyDescent="0.2">
      <c r="O35" s="346"/>
      <c r="P35" s="346"/>
      <c r="Q35" s="346"/>
    </row>
    <row r="36" spans="1:22" x14ac:dyDescent="0.2">
      <c r="A36" s="343"/>
      <c r="B36" s="916"/>
      <c r="C36" s="916"/>
      <c r="D36" s="916"/>
      <c r="E36" s="916"/>
      <c r="F36" s="916"/>
      <c r="G36" s="916"/>
      <c r="H36" s="916"/>
      <c r="I36" s="916"/>
      <c r="J36" s="916"/>
      <c r="K36" s="916"/>
      <c r="L36" s="916"/>
      <c r="M36" s="916"/>
      <c r="N36" s="916"/>
      <c r="O36" s="347"/>
      <c r="P36" s="347"/>
      <c r="Q36" s="347"/>
    </row>
    <row r="37" spans="1:22" x14ac:dyDescent="0.2">
      <c r="A37" s="341"/>
      <c r="B37" s="366"/>
      <c r="C37" s="366"/>
      <c r="D37" s="366"/>
      <c r="E37" s="366"/>
      <c r="F37" s="366"/>
      <c r="G37" s="366"/>
      <c r="H37" s="366"/>
      <c r="I37" s="366"/>
      <c r="J37" s="366"/>
      <c r="K37" s="366"/>
      <c r="L37" s="366"/>
      <c r="M37" s="366"/>
      <c r="N37" s="366"/>
      <c r="O37" s="366"/>
      <c r="P37" s="366"/>
      <c r="Q37" s="366"/>
    </row>
    <row r="38" spans="1:22" x14ac:dyDescent="0.2">
      <c r="A38" s="341"/>
      <c r="B38" s="366"/>
      <c r="C38" s="366"/>
      <c r="D38" s="366"/>
      <c r="E38" s="366"/>
      <c r="F38" s="366"/>
      <c r="G38" s="366"/>
      <c r="H38" s="366"/>
      <c r="I38" s="366"/>
      <c r="J38" s="366"/>
      <c r="K38" s="366"/>
      <c r="L38" s="366"/>
      <c r="M38" s="366"/>
      <c r="N38" s="366"/>
      <c r="O38" s="366"/>
      <c r="P38" s="366"/>
      <c r="Q38" s="366"/>
    </row>
    <row r="40" spans="1:22" ht="15.75" x14ac:dyDescent="0.2">
      <c r="B40" s="911"/>
      <c r="C40" s="911"/>
      <c r="D40" s="911"/>
      <c r="E40" s="911"/>
      <c r="F40" s="911"/>
      <c r="G40" s="911"/>
    </row>
    <row r="42" spans="1:22" ht="15.75" customHeight="1" x14ac:dyDescent="0.2">
      <c r="B42" s="337"/>
      <c r="E42" s="429"/>
    </row>
    <row r="43" spans="1:22" x14ac:dyDescent="0.2">
      <c r="E43" s="430"/>
    </row>
    <row r="44" spans="1:22" x14ac:dyDescent="0.2">
      <c r="B44" s="912"/>
      <c r="C44" s="912"/>
      <c r="D44" s="912"/>
      <c r="E44" s="912"/>
      <c r="F44" s="912"/>
      <c r="G44" s="912"/>
    </row>
    <row r="45" spans="1:22" x14ac:dyDescent="0.2">
      <c r="B45" s="912"/>
      <c r="C45" s="912"/>
      <c r="D45" s="912"/>
      <c r="E45" s="912"/>
      <c r="F45" s="912"/>
      <c r="G45" s="912"/>
    </row>
    <row r="46" spans="1:22" x14ac:dyDescent="0.2">
      <c r="G46" s="431"/>
    </row>
    <row r="47" spans="1:22" x14ac:dyDescent="0.2">
      <c r="G47" s="431"/>
    </row>
    <row r="48" spans="1:22" ht="15.75" x14ac:dyDescent="0.2">
      <c r="E48" s="913"/>
      <c r="F48" s="913"/>
      <c r="G48" s="431"/>
      <c r="S48" s="911"/>
      <c r="T48" s="911"/>
      <c r="U48" s="911"/>
      <c r="V48" s="911"/>
    </row>
    <row r="49" spans="1:22" x14ac:dyDescent="0.2">
      <c r="E49" s="913"/>
      <c r="F49" s="913"/>
      <c r="G49" s="431"/>
    </row>
    <row r="50" spans="1:22" x14ac:dyDescent="0.2">
      <c r="G50" s="431"/>
      <c r="S50" s="336"/>
      <c r="T50" s="930"/>
      <c r="U50" s="930"/>
      <c r="V50" s="930"/>
    </row>
    <row r="51" spans="1:22" ht="12.75" customHeight="1" x14ac:dyDescent="0.2">
      <c r="C51" s="927"/>
      <c r="G51" s="431"/>
      <c r="S51" s="445"/>
      <c r="T51" s="930"/>
      <c r="U51" s="930"/>
      <c r="V51" s="930"/>
    </row>
    <row r="52" spans="1:22" x14ac:dyDescent="0.2">
      <c r="C52" s="927"/>
      <c r="S52" s="445"/>
      <c r="T52" s="930"/>
      <c r="U52" s="930"/>
      <c r="V52" s="930"/>
    </row>
    <row r="53" spans="1:22" x14ac:dyDescent="0.2">
      <c r="S53" s="445"/>
      <c r="T53" s="930"/>
      <c r="U53" s="930"/>
      <c r="V53" s="930"/>
    </row>
    <row r="54" spans="1:22" x14ac:dyDescent="0.2">
      <c r="S54" s="336"/>
      <c r="T54" s="443"/>
      <c r="U54" s="443"/>
      <c r="V54" s="443"/>
    </row>
    <row r="55" spans="1:22" x14ac:dyDescent="0.2">
      <c r="S55" s="210"/>
      <c r="T55" s="929"/>
      <c r="U55" s="929"/>
      <c r="V55" s="929"/>
    </row>
    <row r="56" spans="1:22" x14ac:dyDescent="0.2">
      <c r="S56" s="213"/>
      <c r="T56" s="929"/>
      <c r="U56" s="929"/>
      <c r="V56" s="929"/>
    </row>
    <row r="57" spans="1:22" x14ac:dyDescent="0.2">
      <c r="A57" s="341"/>
      <c r="B57" s="366"/>
      <c r="C57" s="366"/>
      <c r="D57" s="366"/>
      <c r="E57" s="366"/>
      <c r="F57" s="366"/>
      <c r="G57" s="366"/>
      <c r="H57" s="366"/>
      <c r="I57" s="366"/>
      <c r="J57" s="366"/>
      <c r="K57" s="366"/>
      <c r="L57" s="366"/>
      <c r="M57" s="366"/>
      <c r="N57" s="366"/>
      <c r="O57" s="366"/>
      <c r="P57" s="366"/>
      <c r="Q57" s="366"/>
      <c r="S57" s="213"/>
      <c r="T57" s="929"/>
      <c r="U57" s="929"/>
      <c r="V57" s="929"/>
    </row>
    <row r="58" spans="1:22" x14ac:dyDescent="0.2">
      <c r="A58" s="343"/>
      <c r="B58" s="928"/>
      <c r="C58" s="928"/>
      <c r="D58" s="928"/>
      <c r="E58" s="928"/>
      <c r="F58" s="928"/>
      <c r="G58" s="928"/>
      <c r="H58" s="928"/>
      <c r="I58" s="928"/>
      <c r="J58" s="928"/>
      <c r="K58" s="928"/>
      <c r="L58" s="928"/>
      <c r="M58" s="928"/>
      <c r="N58" s="928"/>
      <c r="O58" s="928"/>
      <c r="P58" s="928"/>
      <c r="Q58" s="928"/>
      <c r="S58" s="213"/>
      <c r="T58" s="444"/>
      <c r="U58" s="444"/>
      <c r="V58" s="444"/>
    </row>
    <row r="59" spans="1:22" x14ac:dyDescent="0.2">
      <c r="A59" s="341"/>
      <c r="B59" s="342"/>
      <c r="C59" s="342"/>
      <c r="D59" s="342"/>
      <c r="E59" s="342"/>
      <c r="F59" s="342"/>
      <c r="G59" s="342"/>
      <c r="H59" s="342"/>
      <c r="I59" s="342"/>
      <c r="J59" s="342"/>
      <c r="K59" s="342"/>
      <c r="L59" s="342"/>
      <c r="M59" s="342"/>
      <c r="N59" s="342"/>
      <c r="O59" s="342"/>
      <c r="P59" s="342"/>
      <c r="Q59" s="342"/>
      <c r="S59" s="340"/>
      <c r="T59" s="929"/>
      <c r="U59" s="929"/>
      <c r="V59" s="929"/>
    </row>
    <row r="60" spans="1:22" x14ac:dyDescent="0.2">
      <c r="A60" s="343"/>
      <c r="B60" s="366"/>
      <c r="C60" s="366"/>
      <c r="D60" s="366"/>
      <c r="E60" s="366"/>
      <c r="F60" s="366"/>
      <c r="G60" s="366"/>
      <c r="H60" s="366"/>
      <c r="I60" s="366"/>
      <c r="J60" s="366"/>
      <c r="K60" s="366"/>
      <c r="L60" s="366"/>
      <c r="M60" s="342"/>
      <c r="N60" s="342"/>
      <c r="O60" s="342"/>
      <c r="T60" s="929"/>
      <c r="U60" s="929"/>
      <c r="V60" s="929"/>
    </row>
    <row r="61" spans="1:22" x14ac:dyDescent="0.2">
      <c r="A61" s="343"/>
      <c r="B61" s="366"/>
      <c r="C61" s="366"/>
      <c r="D61" s="366"/>
      <c r="E61" s="366"/>
      <c r="F61" s="366"/>
      <c r="G61" s="366"/>
      <c r="H61" s="366"/>
      <c r="I61" s="366"/>
      <c r="J61" s="366"/>
      <c r="K61" s="366"/>
      <c r="L61" s="366"/>
      <c r="M61" s="366"/>
      <c r="N61" s="366"/>
      <c r="O61" s="366"/>
      <c r="S61" s="213"/>
      <c r="T61" s="929"/>
      <c r="U61" s="929"/>
      <c r="V61" s="929"/>
    </row>
    <row r="62" spans="1:22" x14ac:dyDescent="0.2">
      <c r="A62" s="341"/>
      <c r="B62" s="366"/>
      <c r="C62" s="366"/>
      <c r="D62" s="366"/>
      <c r="E62" s="366"/>
      <c r="F62" s="366"/>
      <c r="G62" s="366"/>
      <c r="H62" s="366"/>
      <c r="I62" s="366"/>
      <c r="J62" s="366"/>
      <c r="K62" s="366"/>
      <c r="L62" s="366"/>
      <c r="M62" s="366"/>
      <c r="N62" s="366"/>
      <c r="O62" s="366"/>
    </row>
    <row r="63" spans="1:22" x14ac:dyDescent="0.2">
      <c r="A63" s="341"/>
      <c r="B63" s="366"/>
      <c r="C63" s="366"/>
      <c r="D63" s="366"/>
      <c r="E63" s="366"/>
      <c r="F63" s="366"/>
      <c r="G63" s="366"/>
      <c r="H63" s="366"/>
      <c r="I63" s="366"/>
      <c r="J63" s="366"/>
      <c r="K63" s="366"/>
      <c r="L63" s="366"/>
      <c r="M63" s="366"/>
      <c r="N63" s="366"/>
      <c r="O63" s="366"/>
      <c r="S63" s="340"/>
      <c r="T63" s="929"/>
      <c r="U63" s="929"/>
      <c r="V63" s="929"/>
    </row>
    <row r="64" spans="1:22" x14ac:dyDescent="0.2">
      <c r="A64" s="341"/>
      <c r="B64" s="342"/>
      <c r="C64" s="342"/>
      <c r="D64" s="342"/>
      <c r="E64" s="342"/>
      <c r="F64" s="342"/>
      <c r="G64" s="342"/>
      <c r="H64" s="342"/>
      <c r="I64" s="342"/>
      <c r="J64" s="342"/>
      <c r="K64" s="342"/>
      <c r="L64" s="342"/>
      <c r="M64" s="366"/>
      <c r="N64" s="366"/>
      <c r="O64" s="366"/>
      <c r="T64" s="929"/>
      <c r="U64" s="929"/>
      <c r="V64" s="929"/>
    </row>
    <row r="65" spans="1:22" x14ac:dyDescent="0.2">
      <c r="A65" s="341"/>
      <c r="B65" s="342"/>
      <c r="C65" s="342"/>
      <c r="D65" s="342"/>
      <c r="E65" s="342"/>
      <c r="F65" s="342"/>
      <c r="G65" s="342"/>
      <c r="H65" s="342"/>
      <c r="I65" s="342"/>
      <c r="J65" s="342"/>
      <c r="K65" s="342"/>
      <c r="L65" s="342"/>
      <c r="M65" s="342"/>
      <c r="N65" s="342"/>
      <c r="O65" s="342"/>
      <c r="T65" s="444"/>
      <c r="U65" s="444"/>
      <c r="V65" s="444"/>
    </row>
    <row r="66" spans="1:22" x14ac:dyDescent="0.2">
      <c r="A66" s="341"/>
      <c r="B66" s="342"/>
      <c r="C66" s="342"/>
      <c r="D66" s="342"/>
      <c r="E66" s="342"/>
      <c r="F66" s="342"/>
      <c r="G66" s="342"/>
      <c r="H66" s="342"/>
      <c r="I66" s="342"/>
      <c r="J66" s="342"/>
      <c r="K66" s="342"/>
      <c r="L66" s="342"/>
      <c r="M66" s="342"/>
      <c r="N66" s="342"/>
      <c r="O66" s="342"/>
      <c r="S66" s="340"/>
      <c r="T66" s="929"/>
      <c r="U66" s="929"/>
      <c r="V66" s="929"/>
    </row>
    <row r="67" spans="1:22" x14ac:dyDescent="0.2">
      <c r="A67" s="341"/>
      <c r="B67" s="342"/>
      <c r="C67" s="342"/>
      <c r="D67" s="342"/>
      <c r="E67" s="342"/>
      <c r="F67" s="342"/>
      <c r="G67" s="342"/>
      <c r="H67" s="342"/>
      <c r="I67" s="342"/>
      <c r="J67" s="342"/>
      <c r="K67" s="342"/>
      <c r="L67" s="342"/>
      <c r="M67" s="342"/>
      <c r="N67" s="342"/>
      <c r="O67" s="342"/>
      <c r="T67" s="929"/>
      <c r="U67" s="929"/>
      <c r="V67" s="929"/>
    </row>
    <row r="68" spans="1:22" x14ac:dyDescent="0.2">
      <c r="A68" s="341"/>
      <c r="B68" s="342"/>
      <c r="C68" s="342"/>
      <c r="D68" s="342"/>
      <c r="E68" s="342"/>
      <c r="F68" s="342"/>
      <c r="G68" s="342"/>
      <c r="H68" s="342"/>
      <c r="I68" s="342"/>
      <c r="J68" s="342"/>
      <c r="M68" s="342"/>
      <c r="N68" s="342"/>
      <c r="O68" s="342"/>
    </row>
    <row r="69" spans="1:22" x14ac:dyDescent="0.2">
      <c r="A69" s="341"/>
      <c r="B69" s="342"/>
      <c r="C69" s="342"/>
      <c r="D69" s="342"/>
      <c r="E69" s="342"/>
      <c r="F69" s="342"/>
      <c r="G69" s="342"/>
      <c r="H69" s="342"/>
      <c r="I69" s="342"/>
      <c r="J69" s="342"/>
      <c r="K69" s="342"/>
      <c r="L69" s="342"/>
      <c r="M69" s="342"/>
      <c r="N69" s="342"/>
      <c r="O69" s="342"/>
    </row>
    <row r="70" spans="1:22" x14ac:dyDescent="0.2">
      <c r="A70" s="341"/>
      <c r="B70" s="366"/>
      <c r="C70" s="367"/>
      <c r="D70" s="342"/>
      <c r="E70" s="342"/>
      <c r="F70" s="342"/>
      <c r="G70" s="342"/>
      <c r="H70" s="342"/>
      <c r="I70" s="342"/>
      <c r="J70" s="342"/>
      <c r="K70" s="342"/>
      <c r="L70" s="342"/>
      <c r="M70" s="342"/>
      <c r="N70" s="342"/>
      <c r="O70" s="342"/>
    </row>
    <row r="71" spans="1:22" x14ac:dyDescent="0.2">
      <c r="A71" s="341"/>
      <c r="B71" s="342"/>
      <c r="C71" s="368"/>
      <c r="D71" s="342"/>
      <c r="E71" s="342"/>
      <c r="F71" s="342"/>
      <c r="G71" s="342"/>
      <c r="H71" s="342"/>
      <c r="I71" s="342"/>
      <c r="J71" s="342"/>
      <c r="K71" s="342"/>
      <c r="L71" s="342"/>
      <c r="M71" s="342"/>
      <c r="N71" s="342"/>
      <c r="O71" s="342"/>
    </row>
    <row r="72" spans="1:22" ht="15" x14ac:dyDescent="0.25">
      <c r="A72" s="341"/>
      <c r="B72" s="342"/>
      <c r="C72" s="342"/>
      <c r="D72" s="342"/>
      <c r="E72" s="342"/>
      <c r="F72" s="342"/>
      <c r="G72" s="342"/>
      <c r="H72" s="342"/>
      <c r="I72" s="342"/>
      <c r="J72" s="342"/>
      <c r="K72" s="342"/>
      <c r="L72" s="342"/>
      <c r="M72" s="342"/>
      <c r="N72" s="342"/>
      <c r="O72" s="342"/>
      <c r="P72" s="342"/>
      <c r="Q72" s="342"/>
      <c r="R72" s="369"/>
      <c r="S72" s="369"/>
      <c r="T72" s="369"/>
      <c r="U72" s="369"/>
      <c r="V72" s="369"/>
    </row>
    <row r="73" spans="1:22" x14ac:dyDescent="0.2">
      <c r="A73" s="341"/>
      <c r="B73" s="366"/>
      <c r="C73" s="367"/>
      <c r="D73" s="342"/>
      <c r="E73" s="342"/>
      <c r="F73" s="342"/>
      <c r="G73" s="342"/>
      <c r="H73" s="342"/>
      <c r="I73" s="342"/>
      <c r="J73" s="342"/>
      <c r="K73" s="342"/>
      <c r="L73" s="342"/>
      <c r="M73" s="342"/>
    </row>
    <row r="74" spans="1:22" x14ac:dyDescent="0.2">
      <c r="A74" s="341"/>
      <c r="B74" s="366"/>
      <c r="C74" s="367"/>
      <c r="D74" s="342"/>
      <c r="E74" s="342"/>
      <c r="F74" s="342"/>
      <c r="G74" s="342"/>
      <c r="H74" s="342"/>
      <c r="I74" s="342"/>
      <c r="J74" s="342"/>
      <c r="K74" s="342"/>
      <c r="L74" s="342"/>
      <c r="M74" s="342"/>
    </row>
    <row r="75" spans="1:22" x14ac:dyDescent="0.2">
      <c r="A75" s="341"/>
      <c r="B75" s="366"/>
      <c r="C75" s="367"/>
      <c r="D75" s="342"/>
      <c r="E75" s="342"/>
      <c r="F75" s="342"/>
      <c r="G75" s="342"/>
      <c r="H75" s="342"/>
      <c r="I75" s="342"/>
      <c r="J75" s="342"/>
      <c r="K75" s="342"/>
      <c r="L75" s="342"/>
      <c r="M75" s="342"/>
    </row>
  </sheetData>
  <mergeCells count="19">
    <mergeCell ref="C51:C52"/>
    <mergeCell ref="B58:Q58"/>
    <mergeCell ref="S48:V48"/>
    <mergeCell ref="T63:V64"/>
    <mergeCell ref="T66:V67"/>
    <mergeCell ref="T55:V57"/>
    <mergeCell ref="T59:V61"/>
    <mergeCell ref="T50:V53"/>
    <mergeCell ref="J4:K4"/>
    <mergeCell ref="B36:N36"/>
    <mergeCell ref="B20:C21"/>
    <mergeCell ref="A13:I14"/>
    <mergeCell ref="A17:I18"/>
    <mergeCell ref="A9:M10"/>
    <mergeCell ref="B40:G40"/>
    <mergeCell ref="B44:D45"/>
    <mergeCell ref="E44:F45"/>
    <mergeCell ref="G44:G45"/>
    <mergeCell ref="E48:F49"/>
  </mergeCells>
  <pageMargins left="0.7" right="0.7" top="0.75" bottom="0.75" header="0.3" footer="0.3"/>
  <pageSetup orientation="portrait" r:id="rId1"/>
  <ignoredErrors>
    <ignoredError sqref="J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12</vt:i4>
      </vt:variant>
    </vt:vector>
  </HeadingPairs>
  <TitlesOfParts>
    <vt:vector size="23" baseType="lpstr">
      <vt:lpstr>Instrucciones</vt:lpstr>
      <vt:lpstr>Índice Tablas</vt:lpstr>
      <vt:lpstr>A) Resumen Ingresos y Egresos</vt:lpstr>
      <vt:lpstr>B) Reajuste Tarifas y Ocupación</vt:lpstr>
      <vt:lpstr>C) Costos Directos</vt:lpstr>
      <vt:lpstr>D) Costos Indirectos</vt:lpstr>
      <vt:lpstr>E) Resumen Tarifado </vt:lpstr>
      <vt:lpstr>F) Remuneraciones</vt:lpstr>
      <vt:lpstr>H) Detalle Datos</vt:lpstr>
      <vt:lpstr>G) Comparación Mercado</vt:lpstr>
      <vt:lpstr>I) Proyección Mensual.</vt:lpstr>
      <vt:lpstr>__xlnm_Print_Area</vt:lpstr>
      <vt:lpstr>__xlnm_Print_Area_1</vt:lpstr>
      <vt:lpstr>__xlnm_Print_Area_2</vt:lpstr>
      <vt:lpstr>__xlnm_Print_Titles</vt:lpstr>
      <vt:lpstr>__xlnm_Print_Titles_1</vt:lpstr>
      <vt:lpstr>'A) Resumen Ingresos y Egresos'!Área_de_impresión</vt:lpstr>
      <vt:lpstr>'C) Costos Directos'!Área_de_impresión</vt:lpstr>
      <vt:lpstr>'E) Resumen Tarifado '!Área_de_impresión</vt:lpstr>
      <vt:lpstr>bienique1</vt:lpstr>
      <vt:lpstr>'C) Costos Directos'!Excel_BuiltIn_Print_Area</vt:lpstr>
      <vt:lpstr>'A) Resumen Ingresos y Egresos'!Títulos_a_imprimir</vt:lpstr>
      <vt:lpstr>'C) Costos Directos'!Títulos_a_imprimir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cverall@armada.cl</dc:creator>
  <cp:lastModifiedBy>130 Carolina Vera</cp:lastModifiedBy>
  <cp:lastPrinted>2017-09-14T16:34:08Z</cp:lastPrinted>
  <dcterms:created xsi:type="dcterms:W3CDTF">2017-05-11T00:45:10Z</dcterms:created>
  <dcterms:modified xsi:type="dcterms:W3CDTF">2025-11-19T18:15:34Z</dcterms:modified>
</cp:coreProperties>
</file>