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600" windowHeight="7692" tabRatio="749" firstSheet="1" activeTab="1"/>
  </bookViews>
  <sheets>
    <sheet name="Ap. 1 Est. Precios " sheetId="1" r:id="rId1"/>
    <sheet name="Ap. 2 Ingresos C. Benef." sheetId="2" r:id="rId2"/>
    <sheet name="Ap. 3 Costos Directos" sheetId="3" r:id="rId3"/>
    <sheet name="Ap. 4 Costos Indirectos" sheetId="4" r:id="rId4"/>
    <sheet name="Ap. 5 Tarifado " sheetId="5" r:id="rId5"/>
    <sheet name="SUELDOS" sheetId="6" r:id="rId6"/>
    <sheet name="Hoja1" sheetId="7" r:id="rId7"/>
    <sheet name="Sheet1" sheetId="8" r:id="rId8"/>
  </sheets>
  <definedNames>
    <definedName name="_xlnm._FilterDatabase" localSheetId="5" hidden="1">'SUELDOS'!$E$4:$E$31</definedName>
    <definedName name="_xlnm.Print_Area" localSheetId="0">'Ap. 1 Est. Precios '!$A$1:$E$29</definedName>
    <definedName name="_xlnm.Print_Area" localSheetId="1">'Ap. 2 Ingresos C. Benef.'!$A$1:$O$26</definedName>
    <definedName name="_xlnm.Print_Area" localSheetId="2">'Ap. 3 Costos Directos'!$B$7:$H$93</definedName>
    <definedName name="_xlnm.Print_Area" localSheetId="3">'Ap. 4 Costos Indirectos'!$A$1:$B$9</definedName>
    <definedName name="_xlnm.Print_Area" localSheetId="4">'Ap. 5 Tarifado '!$A$1:$J$12</definedName>
    <definedName name="Excel_BuiltIn_Print_Area_2_1">'Ap. 3 Costos Directos'!$A$1:$H$66</definedName>
    <definedName name="Excel_BuiltIn_Print_Titles_4">'Ap. 5 Tarifado '!#REF!</definedName>
    <definedName name="Excel_BuiltIn_Print_Titles_5">'Ap. 1 Est. Precios '!#REF!</definedName>
    <definedName name="_xlnm.Print_Titles" localSheetId="1">'Ap. 2 Ingresos C. Benef.'!$1:$16</definedName>
    <definedName name="_xlnm.Print_Titles" localSheetId="2">'Ap. 3 Costos Directos'!$1:$8</definedName>
    <definedName name="_xlnm.Print_Titles" localSheetId="3">'Ap. 4 Costos Indirectos'!$7:$8</definedName>
  </definedNames>
  <calcPr fullCalcOnLoad="1"/>
</workbook>
</file>

<file path=xl/sharedStrings.xml><?xml version="1.0" encoding="utf-8"?>
<sst xmlns="http://schemas.openxmlformats.org/spreadsheetml/2006/main" count="547" uniqueCount="346">
  <si>
    <t>ANEXO A</t>
  </si>
  <si>
    <t>APENDICE 2 AL ANEXO A</t>
  </si>
  <si>
    <t>ESTIMACION DE INGRESOS DE CENTRO DE BENEFICIO EDUCACIONAL</t>
  </si>
  <si>
    <t>REPARTICION:</t>
  </si>
  <si>
    <t>BIENIQUE</t>
  </si>
  <si>
    <t>RESUMEN DE INGRESOS Y COSTOS DE LOS CENTROS DE BENEFICIO EDUCACIONALES</t>
  </si>
  <si>
    <t>ING. MATR.</t>
  </si>
  <si>
    <t>ING. MENS.</t>
  </si>
  <si>
    <t>ING.TOTAL</t>
  </si>
  <si>
    <t>COSTOS DIR</t>
  </si>
  <si>
    <t>C.IND. Dp.</t>
  </si>
  <si>
    <t>C. TOTAL</t>
  </si>
  <si>
    <t>EXCEDENTE</t>
  </si>
  <si>
    <t>APOYOS DE VIDA</t>
  </si>
  <si>
    <t>TOTAL  BIENIQUE</t>
  </si>
  <si>
    <t>DETALLE DE INGRESOS Y COSTOS DE LOS CENTROS DE BENEFICIO EDUCACIONALES</t>
  </si>
  <si>
    <t>Centro Beneficio</t>
  </si>
  <si>
    <t>Prestación [Unidad]</t>
  </si>
  <si>
    <t>Cálculo Ingreso</t>
  </si>
  <si>
    <t>Matrícula</t>
  </si>
  <si>
    <t>Mensualidad</t>
  </si>
  <si>
    <t>Casos Especiales</t>
  </si>
  <si>
    <t>Ingresos
Matrícula</t>
  </si>
  <si>
    <t>Ingresos
Mensualidad</t>
  </si>
  <si>
    <t xml:space="preserve">Total Anual </t>
  </si>
  <si>
    <t>JARDIN INFANTIL "PEQUEÑOS HEROES"</t>
  </si>
  <si>
    <t>Jardín [Media Jornada]</t>
  </si>
  <si>
    <t>Tarifa [$/U]</t>
  </si>
  <si>
    <t>Unid. Anuales [Nr]</t>
  </si>
  <si>
    <t>Ingreso Anual [$]</t>
  </si>
  <si>
    <t>Jardín [Jornada Completa]</t>
  </si>
  <si>
    <t>Jardín [Media Jornada con Colación y Almuerzo]</t>
  </si>
  <si>
    <t>Todos las Prestaciones</t>
  </si>
  <si>
    <t>Ing. Tot. Anual[$]</t>
  </si>
  <si>
    <t>APENDICE 3 AL ANEXO A</t>
  </si>
  <si>
    <t>DEPARTAMENTO /DELEGACION:</t>
  </si>
  <si>
    <t>COSTOS FIJOS</t>
  </si>
  <si>
    <t xml:space="preserve">COSTOS VARIABLES </t>
  </si>
  <si>
    <t>TOTAL VARIABLES</t>
  </si>
  <si>
    <t>COSTOS DIRECTOS</t>
  </si>
  <si>
    <t>CENTRO BENEFICIO</t>
  </si>
  <si>
    <t>Item Gasto</t>
  </si>
  <si>
    <t>Costo [$]</t>
  </si>
  <si>
    <t>Costo Unit[$] Promedio</t>
  </si>
  <si>
    <t>Cant Unid [Nr]</t>
  </si>
  <si>
    <t>Total [$]</t>
  </si>
  <si>
    <t>PERSONAL</t>
  </si>
  <si>
    <t>Personal</t>
  </si>
  <si>
    <t>Sueldos y Sobresueldos (Personal Estable)</t>
  </si>
  <si>
    <t>Aportes Patronales</t>
  </si>
  <si>
    <t>Personal por reemplazo (reemplazos EAC o EC no FF.PP. puesto que estos reemplazos se pagan con el sueldo del reemplazado)</t>
  </si>
  <si>
    <t>Prestaciones de Seguridad Social</t>
  </si>
  <si>
    <t>Finiquitos e Indemnizaciones</t>
  </si>
  <si>
    <t>Otros gastos en Personal</t>
  </si>
  <si>
    <t>Viáticos (Ej. comisiones de servicio; reuniones, revistas a centros, etc.)</t>
  </si>
  <si>
    <t>Sala Cuna Personal Ley 18.712 (obligaciòn legal funcionarias contratadas con hijos menores de 2 años)</t>
  </si>
  <si>
    <t>BIENES Y SERVICIOS DE CONSUMO</t>
  </si>
  <si>
    <t>Alimentos y Bebidas</t>
  </si>
  <si>
    <t>Alimentación funcionarios - Alumnos en Práctica.</t>
  </si>
  <si>
    <t>Alimentación párvulos</t>
  </si>
  <si>
    <t>Textiles , Vestuario y Calzado</t>
  </si>
  <si>
    <t>Textiles  y Acabados Textiles (Ej.Cortinaje, alfombras, sábanas, frazadas, cobertores)</t>
  </si>
  <si>
    <t>Vestuario , Accesorios y Prendas Diversas (Ej.Uniformes personal)</t>
  </si>
  <si>
    <t>Calzado (del personal)</t>
  </si>
  <si>
    <t>Combustibles y Lubricantes</t>
  </si>
  <si>
    <t>Para maquinarias, Equipos de Producción (Ej. cortadoras de pasto, orilladoras,etc.)</t>
  </si>
  <si>
    <t>Para Calefacción (Ej.Estufas a Parafina)</t>
  </si>
  <si>
    <t>Materiales de Uso o Consumo</t>
  </si>
  <si>
    <t>Materiales de Apoyo Educativo</t>
  </si>
  <si>
    <t>Muebles para implementación de sala</t>
  </si>
  <si>
    <t>Productos Químicos (Ej.Productos para limpieza y mantención de piscinas y pozos, recarga de extintores)</t>
  </si>
  <si>
    <t>Productos Farmaceúticos (Ej. Remedios botiquín: vitáminas, penicilina, aspirina, anti inflamatorios, dipirona,etc.)</t>
  </si>
  <si>
    <t>Materiales y útiles quirúrgicos (Ej. Jeringas, agujas, vendajes, alcohol, yodo, gasa, aldodón, suturas, guantes, etc.)</t>
  </si>
  <si>
    <t>Fertilizantes, insecticidas, Fungicidas y otros  (Ej. Productos para fumigación y desratización, etc)</t>
  </si>
  <si>
    <t>Menaje para oficina,  cocina y otros (Reposición vajilla, ollas, platos, etc.)</t>
  </si>
  <si>
    <t>Materiales y Utiles de Aseo (Todo producto destinado a ser consumido o usado en el aseo de los centros)</t>
  </si>
  <si>
    <t>Insumos, Repuestos y Accesorios Computacionales (Ej.Papel impresora, catridge, etc.)</t>
  </si>
  <si>
    <t xml:space="preserve">Materiales para Mantención y Reparación de Inmuebles (pinturas, maderas, pegamentos, cañerías, fitting, cerrajería, art. Eléctricos, aislantes, etc) </t>
  </si>
  <si>
    <t>Otros materiales, Repuestos y Utiles Diversos</t>
  </si>
  <si>
    <t>Servicios Básicos</t>
  </si>
  <si>
    <t xml:space="preserve">Electricidad </t>
  </si>
  <si>
    <t>Agua</t>
  </si>
  <si>
    <t>Gas</t>
  </si>
  <si>
    <t>Correo</t>
  </si>
  <si>
    <t>Telefónía Fija</t>
  </si>
  <si>
    <t>Telefonía Celular</t>
  </si>
  <si>
    <t>Acceso a Internet</t>
  </si>
  <si>
    <t>Enlaces de Telecomunicaciones (Ej.Tv Cable, Televisión satelital)</t>
  </si>
  <si>
    <t>Otros servicios básicos (Leña)</t>
  </si>
  <si>
    <t>Mantenimiento y Reparaciones</t>
  </si>
  <si>
    <t>Mantenimiento y Reparaciones de Edificaciones (Exteriores e interiores)</t>
  </si>
  <si>
    <t>Mantenimiento y Reparaciones de Mobiliarios y Otros (Mantenimiento y reparación mobiliario habitaciones y/o cabañas)</t>
  </si>
  <si>
    <t>Mantenimiento y Reparaciones de Máquinas y Equipos de Oficina (Ej.Calderas, Aire acondicionado, termos, TV,etc)</t>
  </si>
  <si>
    <t>Mantenimiento y Reparaciones de Maquinaria y Equipos de Producción (Ej.Equipos de cocina, refrigeradores, mantenedores, etc.)</t>
  </si>
  <si>
    <t>Mantenimiento y Reparaciones de Otras Maquinarias y Equipos (Ej. Mantenciòbn de ascensor)</t>
  </si>
  <si>
    <t>Mantenimiento y Reparaciones de de Equipos Informáticos</t>
  </si>
  <si>
    <t>Otros mantenciones y reparaciones</t>
  </si>
  <si>
    <t>Publicidad y Difusión</t>
  </si>
  <si>
    <t>Servicios de Publicidad (Ej. Avisos periòdicos, radio, TV  etc)</t>
  </si>
  <si>
    <t>Servicios de Impresión (Ej.Boletines, folletos, dipticos promocionales, etc)</t>
  </si>
  <si>
    <t>Otros servicios de publicidad</t>
  </si>
  <si>
    <t>Servicios Generales</t>
  </si>
  <si>
    <t>Servicios de Aseo (Ej.Servicio externo de lavandería, extracción de basura municipal,etc)</t>
  </si>
  <si>
    <t>Servicios de Vigilancia (Ej.Servicios de seguridad y alarma contratados)</t>
  </si>
  <si>
    <t>Servicios de Mantención de jardines</t>
  </si>
  <si>
    <t>Pasajes, Fletes y Bodegajes (Ej. Movilizaciòn, locomoción, peajes,etc)</t>
  </si>
  <si>
    <t>Suscripciones Técnicas (Periódicos y Revistas)</t>
  </si>
  <si>
    <t>Servicios Financieros y de Seguros</t>
  </si>
  <si>
    <t>Seguro Inmueble</t>
  </si>
  <si>
    <t>Seguro Escolar</t>
  </si>
  <si>
    <t>Servicios Técnicos y Profesionales</t>
  </si>
  <si>
    <t>Cursos de capacitación (para el personal)</t>
  </si>
  <si>
    <t>Servicios Informáticos</t>
  </si>
  <si>
    <t>Certificaciones (calefont, higiene y seguridad, etc.)</t>
  </si>
  <si>
    <t>Otros servicios técnicos y profesionales</t>
  </si>
  <si>
    <t>Otros Gastos en Bienes y Servicios de Consumo</t>
  </si>
  <si>
    <t>Gastos Menores FO.FI. (Directiva D.G.F.A. Nº 02-DC/0201/22 Fecha Enero 2009)</t>
  </si>
  <si>
    <t>Derechos y tasas (gastos notariales, legalización de doctos. y similares, etc)</t>
  </si>
  <si>
    <t>ADQUISICIÓN DE ACTIVOS NO FINANCIEROS</t>
  </si>
  <si>
    <t xml:space="preserve"> Mobiliario y Otros</t>
  </si>
  <si>
    <t xml:space="preserve"> Máquinas y Equipos</t>
  </si>
  <si>
    <t xml:space="preserve"> Equipos Informaticos</t>
  </si>
  <si>
    <t xml:space="preserve"> Programas Informaticos</t>
  </si>
  <si>
    <t xml:space="preserve"> Otros Activos no Financieros</t>
  </si>
  <si>
    <t>COSTOS TOTALES</t>
  </si>
  <si>
    <t xml:space="preserve">ESTIMACION DE COSTOS APOYO AREA EDUCACIONAL DEPARTAMENTO / DELEGACION </t>
  </si>
  <si>
    <t>REPARTICION</t>
  </si>
  <si>
    <t>COSTOS</t>
  </si>
  <si>
    <t>COSTOS INDIRECTOS (APOYO AREA EDUCACIONAL)</t>
  </si>
  <si>
    <t xml:space="preserve"> Sueldos y Sobresueldos (Personal Estable)</t>
  </si>
  <si>
    <t xml:space="preserve"> Aportes Patronales</t>
  </si>
  <si>
    <t xml:space="preserve"> Alumnos en Práctica</t>
  </si>
  <si>
    <t xml:space="preserve"> Aguinaldos y Bonos (septiembre, diciembre, otros bonos)</t>
  </si>
  <si>
    <t xml:space="preserve"> Gasto de Alimentación del Personal</t>
  </si>
  <si>
    <t xml:space="preserve"> Finiquitos e indemnizaciones</t>
  </si>
  <si>
    <t xml:space="preserve"> Viáticos (Ej. Comisiones de servicio, reuniones, revistas a centros, etc.)</t>
  </si>
  <si>
    <t xml:space="preserve"> Sala Cuna Personal Ley 18.712 (obligación legal funcionarios contratados con hijos menores de 2 años)</t>
  </si>
  <si>
    <t xml:space="preserve"> Alimentación funcionarios, alumnos en practica.</t>
  </si>
  <si>
    <t xml:space="preserve"> Textiles,  vestuarios y calzado (uniforme del personal)</t>
  </si>
  <si>
    <t xml:space="preserve"> Para Calefacción (Estufas a Parafina)</t>
  </si>
  <si>
    <t xml:space="preserve"> Cursos de capacitación (para el personal)</t>
  </si>
  <si>
    <t xml:space="preserve"> Servicios Informáticos</t>
  </si>
  <si>
    <t xml:space="preserve"> Certificaciones (calefont, higiene y seguridad, etc.)</t>
  </si>
  <si>
    <t xml:space="preserve"> Otros servicios técnicos y profesionales</t>
  </si>
  <si>
    <t xml:space="preserve"> Gastos Menores (Directiva D.G.F.A. Nº 02-DC/0201/22 Fecha Enero 2009)</t>
  </si>
  <si>
    <t xml:space="preserve"> Materiales de Oficina (Utiles de Escritorio, impresos de talonarios, boletas,comandas, formularios)</t>
  </si>
  <si>
    <t xml:space="preserve"> Productos Farmaceúticos (Botiquines)</t>
  </si>
  <si>
    <t xml:space="preserve"> Materiales y Utiles de Aseo </t>
  </si>
  <si>
    <t xml:space="preserve"> Insumos, Repuestos y Accesorios Computacionales (Papel impresora, catridge)</t>
  </si>
  <si>
    <t xml:space="preserve"> Agua</t>
  </si>
  <si>
    <t xml:space="preserve"> Energía Eléctrica</t>
  </si>
  <si>
    <t xml:space="preserve"> Gas</t>
  </si>
  <si>
    <t xml:space="preserve"> Correo</t>
  </si>
  <si>
    <t xml:space="preserve"> Telefónía Fija</t>
  </si>
  <si>
    <t xml:space="preserve"> Telefonía Celular</t>
  </si>
  <si>
    <t xml:space="preserve"> Acceso a Internet</t>
  </si>
  <si>
    <t xml:space="preserve"> Enlaces de Telecomunicaciones (Tv Cable, Televisión satelital)</t>
  </si>
  <si>
    <t xml:space="preserve"> Otros Servicios Básicos (Leña)</t>
  </si>
  <si>
    <t xml:space="preserve"> Servicios de Publicidad (avisos, periódicos, radio, TV, etc.)</t>
  </si>
  <si>
    <t xml:space="preserve"> Servicios de Impresión (Boletines, folletos, dipticos promocionales)</t>
  </si>
  <si>
    <t xml:space="preserve"> Otros servicios de publicidad</t>
  </si>
  <si>
    <t>APENDICE 5 AL ANEXO A</t>
  </si>
  <si>
    <t>TARIFAS PROPUESTAS PARA LOS CENTROS DE BENEFICIO DEL AREA EDUCACIONAL</t>
  </si>
  <si>
    <t>APENDICE 1 AL ANEXO A</t>
  </si>
  <si>
    <t>ESTUDIO DE PRECIOS DE MERCADO</t>
  </si>
  <si>
    <t>Meses/Año Salas Cuna</t>
  </si>
  <si>
    <t>Meses/Año Jardines Infantiles</t>
  </si>
  <si>
    <t>Total Año</t>
  </si>
  <si>
    <t>Mat + Mens* M/A</t>
  </si>
  <si>
    <t>JARDIN INFANTIL "SOLDADITO"</t>
  </si>
  <si>
    <t>JARDIN INFANTIL "PILLANCITO"</t>
  </si>
  <si>
    <t>Gendarmeria y PDI</t>
  </si>
  <si>
    <t>Jardín [Jornada Completa] OFICIALES</t>
  </si>
  <si>
    <t>Arriendos maquinas y equipos</t>
  </si>
  <si>
    <t>Personal Servicio Activo Armada y otras FFAA</t>
  </si>
  <si>
    <t>En retiro</t>
  </si>
  <si>
    <t>ESCUELA DE VERANO</t>
  </si>
  <si>
    <t>ENERO</t>
  </si>
  <si>
    <t>FEBRERO</t>
  </si>
  <si>
    <t>MARZO</t>
  </si>
  <si>
    <t>ABRIL</t>
  </si>
  <si>
    <t>MAYO</t>
  </si>
  <si>
    <t>JUNIO</t>
  </si>
  <si>
    <t>JULIO</t>
  </si>
  <si>
    <t>AGOSTO</t>
  </si>
  <si>
    <t>OCTUBRE</t>
  </si>
  <si>
    <t>NOVIEMBRE</t>
  </si>
  <si>
    <t>DICIEMBRE</t>
  </si>
  <si>
    <t>TOTAL</t>
  </si>
  <si>
    <t>APOTE PATRONAL</t>
  </si>
  <si>
    <t>SUB-TOTAL</t>
  </si>
  <si>
    <t>AGUINALDOS Y BONOS</t>
  </si>
  <si>
    <t>SUELDO</t>
  </si>
  <si>
    <t>NOMBRE</t>
  </si>
  <si>
    <t>RUT</t>
  </si>
  <si>
    <t>CARGO</t>
  </si>
  <si>
    <t>DIAS TRAB</t>
  </si>
  <si>
    <t>T.IMPON</t>
  </si>
  <si>
    <t>T.HABERES</t>
  </si>
  <si>
    <t>SIS</t>
  </si>
  <si>
    <t>IST</t>
  </si>
  <si>
    <t>S.CESANT</t>
  </si>
  <si>
    <t>A.PATRONAL</t>
  </si>
  <si>
    <t>SEPT</t>
  </si>
  <si>
    <t>dic</t>
  </si>
  <si>
    <t>BONO VACACIONES</t>
  </si>
  <si>
    <t>BONO</t>
  </si>
  <si>
    <t>BONOS</t>
  </si>
  <si>
    <t>APATRONAL</t>
  </si>
  <si>
    <t>AUXILIAR DE ASEO</t>
  </si>
  <si>
    <t>SCIARAFFIA CHEPILLA FRANCESCA ALEJANDRA</t>
  </si>
  <si>
    <t>016.057.560-3</t>
  </si>
  <si>
    <t>EDUCADORA DE PARVULOS</t>
  </si>
  <si>
    <t>MANIPULADORA DE ALIMENTOS</t>
  </si>
  <si>
    <t>012.436.833-2</t>
  </si>
  <si>
    <t>012.653.313-6</t>
  </si>
  <si>
    <t>CACERES KLENNER EVELYN MARLENE</t>
  </si>
  <si>
    <t>013.188.289-0</t>
  </si>
  <si>
    <t>Servicio de fumigación</t>
  </si>
  <si>
    <t>Ed. De Párvulos</t>
  </si>
  <si>
    <t>Bono Término de Conflicto</t>
  </si>
  <si>
    <t>Técnicos</t>
  </si>
  <si>
    <t>Man. De Alimentos</t>
  </si>
  <si>
    <t>Aguinaldos y Bonos de Vac.</t>
  </si>
  <si>
    <t>Aux.  De Aseo</t>
  </si>
  <si>
    <t>AGUINALDO</t>
  </si>
  <si>
    <t>Remuneración Mensual</t>
  </si>
  <si>
    <t>Remuneración Anual</t>
  </si>
  <si>
    <t>Reajuste</t>
  </si>
  <si>
    <t>Remuneración anual 2016</t>
  </si>
  <si>
    <t>Gasto año 2016</t>
  </si>
  <si>
    <t>PAGO DE CURSOS DE CAPACITACION PARA EL PERSONAL</t>
  </si>
  <si>
    <t>PROYECCIÓN IPC</t>
  </si>
  <si>
    <t>BONO FIN DE AÑO</t>
  </si>
  <si>
    <t>Aguinaldos y VACACIONES (septiembre, diciembre, otros bonos)</t>
  </si>
  <si>
    <t>Personal Servicio Activo Armada</t>
  </si>
  <si>
    <t>Personal en Retiro</t>
  </si>
  <si>
    <t>Servicio de entretención para niños (ACTIVIDADES EXTRAPROGRAMATICAS)</t>
  </si>
  <si>
    <t>COMPRA DE 30 SILLAS PARA PARVULOS Y 2° PROVISIÓN MUEBLE OFICINA DIRECTORA</t>
  </si>
  <si>
    <t>REAJUSTE</t>
  </si>
  <si>
    <t>OCUPACIÓN</t>
  </si>
  <si>
    <t>ESTIMACION DE COSTOS POR CADA CENTRO DIRECTO DE BENEFICIO (JARDIN )</t>
  </si>
  <si>
    <t>Celular jardin recarga mensual de 10 mil pesos</t>
  </si>
  <si>
    <t>Tintas de impresora</t>
  </si>
  <si>
    <t>Recarga de extintores</t>
  </si>
  <si>
    <t>Considera  insumos de oficina</t>
  </si>
  <si>
    <t>Fumigacion trimestral general</t>
  </si>
  <si>
    <t>Fotocopiadora anual</t>
  </si>
  <si>
    <t>BIENQUE</t>
  </si>
  <si>
    <t>Media Jornada con Colación y Almuerzo</t>
  </si>
  <si>
    <t>Jardín 
Jornada Completa</t>
  </si>
  <si>
    <t>Jardín
Media Jornada</t>
  </si>
  <si>
    <r>
      <t xml:space="preserve">TARIFAS </t>
    </r>
    <r>
      <rPr>
        <b/>
        <sz val="10"/>
        <color indexed="10"/>
        <rFont val="Arial Narrow"/>
        <family val="2"/>
      </rPr>
      <t>2016</t>
    </r>
  </si>
  <si>
    <t xml:space="preserve">Jardín [Jornada Completa]     </t>
  </si>
  <si>
    <t xml:space="preserve">Jardín [Media Jornada con Colación y Almuerzo] </t>
  </si>
  <si>
    <t>VALOR SEGURO AÑO 2016</t>
  </si>
  <si>
    <r>
      <t xml:space="preserve">TARIFAS </t>
    </r>
    <r>
      <rPr>
        <b/>
        <sz val="10"/>
        <color indexed="10"/>
        <rFont val="Arial Narrow"/>
        <family val="2"/>
      </rPr>
      <t>2017</t>
    </r>
  </si>
  <si>
    <t>TARIFAS 2017</t>
  </si>
  <si>
    <t>Se consiera como parte de finiquito ya que se necesitan $5.000.000 app. para finiquitar a tecnico</t>
  </si>
  <si>
    <t xml:space="preserve">Gasto año 2015 ($700.000) </t>
  </si>
  <si>
    <t>GONZALEZ BERNARDA</t>
  </si>
  <si>
    <t xml:space="preserve"> Considera alimentación para 86 niños proyectados en Jornada Completa y Media Jornada con alimentación y 20 en escuela de verano</t>
  </si>
  <si>
    <t>CUOTA DE PADRES $1.500 MENSUALES POR 10 MESES PARA 108 NIÑOS PROYECTADOS</t>
  </si>
  <si>
    <t>Considera Seguro para los 108 niños proyectados + 20 Curso de Verano</t>
  </si>
  <si>
    <t xml:space="preserve">EXAMENES PSICOLABORALES </t>
  </si>
  <si>
    <t>Considera FOFI de $250.000 mensuales</t>
  </si>
  <si>
    <t>Provisión de fondos a tres años para pintado solamente interior</t>
  </si>
  <si>
    <t>Materiales de Oficina (Ej.Utiles de Escritorio, impresos de talonarios, boletas, comandas, formularios, etc.)</t>
  </si>
  <si>
    <t>Compra y renovacion material didactico</t>
  </si>
  <si>
    <t>Sala cuna Macarena Molina (4 meses mas matricula)</t>
  </si>
  <si>
    <t>Considera la compra de zapatos de seguridad para las 2 Manipuladoras de alimentos + 1 encargada de aseo.</t>
  </si>
  <si>
    <t>Reunion directoras mas comisiones</t>
  </si>
  <si>
    <t>Compra y reposicion de ollas y vajilla</t>
  </si>
  <si>
    <t>Doble pack VTR</t>
  </si>
  <si>
    <t>Pasajes aereos reunion directoras 2017 Y SALA CUNA (4 MESES)</t>
  </si>
  <si>
    <t>Luminarias y pintura para pintado exterior (300.000 lumninarias + 450.000 pinturas mas elementos pintado)</t>
  </si>
  <si>
    <t>DIAZ TRABUCCO MIRIAM CECILIA</t>
  </si>
  <si>
    <t>GARCES RIVERA EMA ROSA</t>
  </si>
  <si>
    <t>CASTILLO VILLARROEL CLAUDIA ANDREA</t>
  </si>
  <si>
    <t>012.957.150-0</t>
  </si>
  <si>
    <t>AUXILIAR DE ASEO 1/2 dia</t>
  </si>
  <si>
    <t>017.906.66</t>
  </si>
  <si>
    <t>propuesta de tarifas 2017</t>
  </si>
  <si>
    <t>PAULINA RODRIGUEZ</t>
  </si>
  <si>
    <t>TECNICO EN PARVULOS</t>
  </si>
  <si>
    <t>TECNICO EN PARVULOS MEDIO DIA</t>
  </si>
  <si>
    <t>SILVA PAOLA</t>
  </si>
  <si>
    <t>MOLINA MACARENA</t>
  </si>
  <si>
    <t>MOLINA KARINA</t>
  </si>
  <si>
    <t>FANNY</t>
  </si>
  <si>
    <t>DOMINIQUE</t>
  </si>
  <si>
    <t>JESSICA</t>
  </si>
  <si>
    <t>SILVIA</t>
  </si>
  <si>
    <t>Se considera el costo de la "Administracion Central" considerando que un 20% del esfuerzo de esta unidad se utiliza para la administracion del Area Educacional. (Jardin Infantil "Pequeños Heroes")</t>
  </si>
  <si>
    <r>
      <t xml:space="preserve">Personal por reemplazo </t>
    </r>
    <r>
      <rPr>
        <sz val="8"/>
        <color indexed="8"/>
        <rFont val="Arial Narrow"/>
        <family val="2"/>
      </rPr>
      <t>(Reemplazos EAC o EC no FF.PP., estos reemplazos se pagan con el sueldo del reemplazado)</t>
    </r>
  </si>
  <si>
    <t>Variacion 2016 / 2017 (%)</t>
  </si>
  <si>
    <t>liquido</t>
  </si>
  <si>
    <t>JARDIN INFANTIL "SAN FRANCISCO</t>
  </si>
  <si>
    <t>SAINT MARGARET</t>
  </si>
  <si>
    <t>EXTENSION HORARIA DE 13:30 HRS A 19:00 HRS ( S/ ALIM)</t>
  </si>
  <si>
    <t>MENSUALIDAD</t>
  </si>
  <si>
    <t>CON IPC</t>
  </si>
  <si>
    <t>GASTO TOTAL 9.000.000</t>
  </si>
  <si>
    <t>personal</t>
  </si>
  <si>
    <t>educ parv</t>
  </si>
  <si>
    <t>menor</t>
  </si>
  <si>
    <t>mayor</t>
  </si>
  <si>
    <t>t1</t>
  </si>
  <si>
    <t>t2</t>
  </si>
  <si>
    <t>tecnicos</t>
  </si>
  <si>
    <t>cantidad niños</t>
  </si>
  <si>
    <t>INCREMENTO $</t>
  </si>
  <si>
    <t>DOTACION (11)</t>
  </si>
  <si>
    <t>tecnicos en parvulos ( 3 jc y 01 medio dia</t>
  </si>
  <si>
    <t>ipc 2017</t>
  </si>
  <si>
    <t>menor tarifa</t>
  </si>
  <si>
    <t>REMUNERACIONES PERSONAL TECNICO EN PARVULOS JI 2017</t>
  </si>
  <si>
    <t>ZZNN</t>
  </si>
  <si>
    <t>SUELDO BASE</t>
  </si>
  <si>
    <t>AGUINALDOS</t>
  </si>
  <si>
    <t>BONOS VACACIONES</t>
  </si>
  <si>
    <t>DIC</t>
  </si>
  <si>
    <t>BONO TERMINO CONFLICTO</t>
  </si>
  <si>
    <t>IQUIQUE</t>
  </si>
  <si>
    <t>THNO</t>
  </si>
  <si>
    <t>PW</t>
  </si>
  <si>
    <t>TOTAL GASTO EMPRESA</t>
  </si>
  <si>
    <t>TOTAL BONOS AGUINALDOS ANUALES</t>
  </si>
  <si>
    <t>GASTO PROMEDIO MENSUAL REMUNERACION</t>
  </si>
  <si>
    <t>VALPO</t>
  </si>
  <si>
    <t>LORETO MONDACA REBOLLEDO</t>
  </si>
  <si>
    <t>DOCTOR © EN  GESTIÓN Y POLITICAS EDUCATIVAS</t>
  </si>
  <si>
    <t>PROMEDIO REMUNERACION 2016</t>
  </si>
  <si>
    <t>PROMEDIO REMUNERACION 2017</t>
  </si>
  <si>
    <t>REMUN. LIQUIDA MENSUAL C BONOS -18%</t>
  </si>
  <si>
    <t>INCREMENTO</t>
  </si>
  <si>
    <t>PARENAS</t>
  </si>
  <si>
    <t>SANTIAGO</t>
  </si>
  <si>
    <t>STGO</t>
  </si>
  <si>
    <t>PENDIENTE</t>
  </si>
  <si>
    <t>OTROS POR GESTIONAR</t>
  </si>
  <si>
    <t>GESTION PARA 2017</t>
  </si>
  <si>
    <t>GESTION PARA 2016</t>
  </si>
  <si>
    <t>Se considera la alimentación de 11 personas por 11 meses por 20 dias mensuales personal EP ley 18712</t>
  </si>
  <si>
    <t>Considera la compra de 17 delantales</t>
  </si>
  <si>
    <t>TOTAL GASTO REMUNERACIÓN</t>
  </si>
</sst>
</file>

<file path=xl/styles.xml><?xml version="1.0" encoding="utf-8"?>
<styleSheet xmlns="http://schemas.openxmlformats.org/spreadsheetml/2006/main">
  <numFmts count="5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_-;&quot;-$&quot;* #,##0.00_-;_-\$* \-??_-;_-@_-"/>
    <numFmt numFmtId="181" formatCode="_-\$* #,##0_-;&quot;-$&quot;* #,##0_-;_-\$* \-_-;_-@_-"/>
    <numFmt numFmtId="182" formatCode="\$#,##0;[Red]&quot;-$&quot;#,##0"/>
    <numFmt numFmtId="183" formatCode="\$#,##0_);[Red]&quot;($&quot;#,##0\)"/>
    <numFmt numFmtId="184" formatCode="_-* #,##0.00_-;\-* #,##0.00_-;_-* \-??_-;_-@_-"/>
    <numFmt numFmtId="185" formatCode="_-* #,##0.0_-;\-* #,##0.0_-;_-* \-??_-;_-@_-"/>
    <numFmt numFmtId="186" formatCode="_(* #,##0_);_(* \(#,##0\);_(* \-_);_(@_)"/>
    <numFmt numFmtId="187" formatCode="_-* #,##0_-;\-* #,##0_-;_-* \-??_-;_-@_-"/>
    <numFmt numFmtId="188" formatCode="[$$-340A]\ #,##0"/>
    <numFmt numFmtId="189" formatCode="_-\$* #,##0_-;&quot;-$&quot;* #,##0_-;_-\$* \-??_-;_-@_-"/>
    <numFmt numFmtId="190" formatCode="_-* #,##0.000_-;\-* #,##0.000_-;_-* \-??_-;_-@_-"/>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_-* #,##0.000_-;\-* #,##0.000_-;_-* &quot;-&quot;???_-;_-@_-"/>
    <numFmt numFmtId="196" formatCode="_-\$* #,##0.0_-;&quot;-$&quot;* #,##0.0_-;_-\$* \-??_-;_-@_-"/>
    <numFmt numFmtId="197" formatCode="0.0000000"/>
    <numFmt numFmtId="198" formatCode="0.000000"/>
    <numFmt numFmtId="199" formatCode="0.00000000"/>
    <numFmt numFmtId="200" formatCode="0.000000000"/>
    <numFmt numFmtId="201" formatCode="0.0000000000"/>
    <numFmt numFmtId="202" formatCode="0.00000"/>
    <numFmt numFmtId="203" formatCode="0.0000"/>
    <numFmt numFmtId="204" formatCode="0.000"/>
    <numFmt numFmtId="205" formatCode="[$-340A]dddd\,\ dd&quot; de &quot;mmmm&quot; de &quot;yyyy"/>
    <numFmt numFmtId="206" formatCode="0.0"/>
    <numFmt numFmtId="207" formatCode="#,##0.000000"/>
    <numFmt numFmtId="208" formatCode="_-\$* #,##0.000_-;&quot;-$&quot;* #,##0.000_-;_-\$* \-??_-;_-@_-"/>
    <numFmt numFmtId="209" formatCode="_-\$* #,##0.0000_-;&quot;-$&quot;* #,##0.0000_-;_-\$* \-??_-;_-@_-"/>
    <numFmt numFmtId="210" formatCode="_-\$* #,##0.0_-;&quot;-$&quot;* #,##0.0_-;_-\$* \-_-;_-@_-"/>
    <numFmt numFmtId="211" formatCode="_-\$* #,##0.00_-;&quot;-$&quot;* #,##0.00_-;_-\$* \-_-;_-@_-"/>
    <numFmt numFmtId="212" formatCode="_-\$* #,##0.000_-;&quot;-$&quot;* #,##0.000_-;_-\$* \-_-;_-@_-"/>
    <numFmt numFmtId="213" formatCode="_-\$* #,##0.0000_-;&quot;-$&quot;* #,##0.0000_-;_-\$* \-_-;_-@_-"/>
    <numFmt numFmtId="214" formatCode="0.0%"/>
  </numFmts>
  <fonts count="60">
    <font>
      <sz val="10"/>
      <name val="Arial"/>
      <family val="2"/>
    </font>
    <font>
      <sz val="10"/>
      <name val="Arial Narrow"/>
      <family val="2"/>
    </font>
    <font>
      <b/>
      <sz val="10"/>
      <name val="Arial Narrow"/>
      <family val="2"/>
    </font>
    <font>
      <b/>
      <sz val="12"/>
      <name val="Arial Narrow"/>
      <family val="2"/>
    </font>
    <font>
      <b/>
      <sz val="14"/>
      <name val="Arial Narrow"/>
      <family val="2"/>
    </font>
    <font>
      <b/>
      <u val="single"/>
      <sz val="10"/>
      <name val="Arial Narrow"/>
      <family val="2"/>
    </font>
    <font>
      <sz val="12"/>
      <name val="Arial Narrow"/>
      <family val="2"/>
    </font>
    <font>
      <sz val="12"/>
      <name val="Arial"/>
      <family val="2"/>
    </font>
    <font>
      <b/>
      <sz val="10"/>
      <color indexed="8"/>
      <name val="Arial Narrow"/>
      <family val="2"/>
    </font>
    <font>
      <sz val="10"/>
      <color indexed="8"/>
      <name val="Arial Narrow"/>
      <family val="2"/>
    </font>
    <font>
      <sz val="8"/>
      <color indexed="8"/>
      <name val="Arial Narrow"/>
      <family val="2"/>
    </font>
    <font>
      <b/>
      <sz val="10"/>
      <name val="Arial"/>
      <family val="2"/>
    </font>
    <font>
      <b/>
      <sz val="20"/>
      <name val="Arial Narrow"/>
      <family val="2"/>
    </font>
    <font>
      <b/>
      <sz val="10"/>
      <color indexed="10"/>
      <name val="Arial Narrow"/>
      <family val="2"/>
    </font>
    <font>
      <b/>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55"/>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8"/>
      <color indexed="10"/>
      <name val="Arial Narrow"/>
      <family val="2"/>
    </font>
    <font>
      <b/>
      <sz val="16"/>
      <color indexed="17"/>
      <name val="Arial Narrow"/>
      <family val="2"/>
    </font>
    <font>
      <sz val="10"/>
      <color indexed="10"/>
      <name val="Arial Narrow"/>
      <family val="2"/>
    </font>
    <font>
      <sz val="10"/>
      <color indexed="10"/>
      <name val="Arial"/>
      <family val="2"/>
    </font>
    <font>
      <sz val="8"/>
      <name val="Tahoma"/>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8"/>
      <color rgb="FFFF0000"/>
      <name val="Arial Narrow"/>
      <family val="2"/>
    </font>
    <font>
      <b/>
      <sz val="16"/>
      <color rgb="FF00B050"/>
      <name val="Arial Narrow"/>
      <family val="2"/>
    </font>
    <font>
      <sz val="10"/>
      <color rgb="FFFF0000"/>
      <name val="Arial Narrow"/>
      <family val="2"/>
    </font>
    <font>
      <sz val="10"/>
      <color rgb="FFFF0000"/>
      <name val="Arial"/>
      <family val="2"/>
    </font>
    <font>
      <b/>
      <sz val="10"/>
      <color rgb="FFFF0000"/>
      <name val="Arial Narrow"/>
      <family val="2"/>
    </font>
  </fonts>
  <fills count="6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3" tint="0.5999900102615356"/>
        <bgColor indexed="64"/>
      </patternFill>
    </fill>
    <fill>
      <patternFill patternType="solid">
        <fgColor theme="0"/>
        <bgColor indexed="64"/>
      </patternFill>
    </fill>
    <fill>
      <patternFill patternType="solid">
        <fgColor theme="0"/>
        <bgColor indexed="64"/>
      </patternFill>
    </fill>
    <fill>
      <patternFill patternType="solid">
        <fgColor theme="0" tint="-0.0499799996614456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4" tint="0.7999799847602844"/>
        <bgColor indexed="64"/>
      </patternFill>
    </fill>
    <fill>
      <patternFill patternType="solid">
        <fgColor theme="6" tint="0.7999799847602844"/>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7" tint="0.7999799847602844"/>
        <bgColor indexed="64"/>
      </patternFill>
    </fill>
    <fill>
      <patternFill patternType="solid">
        <fgColor theme="6" tint="0.7999799847602844"/>
        <bgColor indexed="64"/>
      </patternFill>
    </fill>
    <fill>
      <patternFill patternType="solid">
        <fgColor theme="4" tint="0.7999799847602844"/>
        <bgColor indexed="64"/>
      </patternFill>
    </fill>
    <fill>
      <patternFill patternType="solid">
        <fgColor theme="0"/>
        <bgColor indexed="64"/>
      </patternFill>
    </fill>
    <fill>
      <patternFill patternType="solid">
        <fgColor theme="6" tint="0.7999799847602844"/>
        <bgColor indexed="64"/>
      </patternFill>
    </fill>
    <fill>
      <patternFill patternType="solid">
        <fgColor theme="4" tint="0.7999799847602844"/>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3" tint="0.5999900102615356"/>
        <bgColor indexed="64"/>
      </patternFill>
    </fill>
    <fill>
      <patternFill patternType="solid">
        <fgColor theme="0" tint="-0.04997999966144562"/>
        <bgColor indexed="64"/>
      </patternFill>
    </fill>
    <fill>
      <patternFill patternType="solid">
        <fgColor theme="4" tint="0.5999900102615356"/>
        <bgColor indexed="64"/>
      </patternFill>
    </fill>
    <fill>
      <patternFill patternType="solid">
        <fgColor theme="6" tint="0.7999799847602844"/>
        <bgColor indexed="64"/>
      </patternFill>
    </fill>
    <fill>
      <patternFill patternType="solid">
        <fgColor theme="5" tint="0.7999799847602844"/>
        <bgColor indexed="64"/>
      </patternFill>
    </fill>
    <fill>
      <patternFill patternType="solid">
        <fgColor theme="2"/>
        <bgColor indexed="64"/>
      </patternFill>
    </fill>
    <fill>
      <patternFill patternType="solid">
        <fgColor theme="6" tint="0.7999799847602844"/>
        <bgColor indexed="64"/>
      </patternFill>
    </fill>
    <fill>
      <patternFill patternType="solid">
        <fgColor theme="8" tint="0.7999799847602844"/>
        <bgColor indexed="64"/>
      </patternFill>
    </fill>
    <fill>
      <patternFill patternType="solid">
        <fgColor theme="0" tint="-0.04997999966144562"/>
        <bgColor indexed="64"/>
      </patternFill>
    </fill>
    <fill>
      <patternFill patternType="solid">
        <fgColor rgb="FFFF0000"/>
        <bgColor indexed="64"/>
      </patternFill>
    </fill>
    <fill>
      <patternFill patternType="solid">
        <fgColor theme="2"/>
        <bgColor indexed="64"/>
      </patternFill>
    </fill>
    <fill>
      <patternFill patternType="solid">
        <fgColor theme="0" tint="-0.04997999966144562"/>
        <bgColor indexed="64"/>
      </patternFill>
    </fill>
    <fill>
      <patternFill patternType="solid">
        <fgColor theme="6" tint="0.7999799847602844"/>
        <bgColor indexed="64"/>
      </patternFill>
    </fill>
  </fills>
  <borders count="1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right/>
      <top style="thin"/>
      <bottom style="thin"/>
    </border>
    <border>
      <left/>
      <right style="thin"/>
      <top style="thin"/>
      <bottom style="thin"/>
    </border>
    <border>
      <left/>
      <right>
        <color indexed="63"/>
      </right>
      <top style="thin"/>
      <bottom style="thin"/>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thin"/>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top style="thin">
        <color indexed="8"/>
      </top>
      <bottom>
        <color indexed="63"/>
      </bottom>
    </border>
    <border>
      <left style="thin">
        <color indexed="8"/>
      </left>
      <right style="thin"/>
      <top style="thin">
        <color indexed="8"/>
      </top>
      <bottom style="medium">
        <color indexed="8"/>
      </bottom>
    </border>
    <border>
      <left style="thin">
        <color indexed="8"/>
      </left>
      <right style="thin">
        <color indexed="8"/>
      </right>
      <top>
        <color indexed="63"/>
      </top>
      <bottom style="thin">
        <color indexed="8"/>
      </bottom>
    </border>
    <border>
      <left style="medium"/>
      <right style="thin"/>
      <top>
        <color indexed="63"/>
      </top>
      <bottom style="thin"/>
    </border>
    <border>
      <left style="thin">
        <color indexed="8"/>
      </left>
      <right style="thin">
        <color indexed="8"/>
      </right>
      <top>
        <color indexed="63"/>
      </top>
      <bottom>
        <color indexed="63"/>
      </bottom>
    </border>
    <border>
      <left style="thin">
        <color indexed="8"/>
      </left>
      <right style="medium"/>
      <top>
        <color indexed="63"/>
      </top>
      <bottom>
        <color indexed="63"/>
      </bottom>
    </border>
    <border>
      <left>
        <color indexed="63"/>
      </left>
      <right style="thin">
        <color indexed="8"/>
      </right>
      <top style="thin">
        <color indexed="8"/>
      </top>
      <bottom>
        <color indexed="63"/>
      </bottom>
    </border>
    <border>
      <left style="thin"/>
      <right style="medium"/>
      <top style="thin"/>
      <bottom style="medium">
        <color indexed="8"/>
      </bottom>
    </border>
    <border>
      <left>
        <color indexed="63"/>
      </left>
      <right style="medium"/>
      <top style="medium"/>
      <bottom>
        <color indexed="63"/>
      </bottom>
    </border>
    <border>
      <left style="thin">
        <color indexed="8"/>
      </left>
      <right>
        <color indexed="63"/>
      </right>
      <top style="medium">
        <color indexed="8"/>
      </top>
      <bottom style="medium">
        <color indexed="8"/>
      </bottom>
    </border>
    <border>
      <left style="thin">
        <color indexed="8"/>
      </left>
      <right>
        <color indexed="63"/>
      </right>
      <top style="medium">
        <color indexed="8"/>
      </top>
      <bottom style="thin">
        <color indexed="8"/>
      </bottom>
    </border>
    <border>
      <left style="thin">
        <color indexed="8"/>
      </left>
      <right>
        <color indexed="63"/>
      </right>
      <top style="thin">
        <color indexed="8"/>
      </top>
      <bottom style="medium">
        <color indexed="8"/>
      </bottom>
    </border>
    <border>
      <left style="medium">
        <color indexed="8"/>
      </left>
      <right style="thin">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top style="medium">
        <color indexed="8"/>
      </top>
      <bottom>
        <color indexed="63"/>
      </bottom>
    </border>
    <border>
      <left style="medium"/>
      <right style="thin"/>
      <top style="medium">
        <color indexed="8"/>
      </top>
      <bottom style="thin">
        <color indexed="8"/>
      </bottom>
    </border>
    <border>
      <left style="thin"/>
      <right style="thin"/>
      <top style="medium">
        <color indexed="8"/>
      </top>
      <bottom style="thin">
        <color indexed="8"/>
      </bottom>
    </border>
    <border>
      <left style="thin"/>
      <right style="thin"/>
      <top>
        <color indexed="63"/>
      </top>
      <bottom style="thin">
        <color indexed="8"/>
      </bottom>
    </border>
    <border>
      <left>
        <color indexed="63"/>
      </left>
      <right style="medium"/>
      <top>
        <color indexed="63"/>
      </top>
      <bottom style="thin"/>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color indexed="63"/>
      </right>
      <top style="thin"/>
      <bottom style="thin">
        <color indexed="8"/>
      </bottom>
    </border>
    <border>
      <left style="thin">
        <color indexed="8"/>
      </left>
      <right style="medium">
        <color indexed="8"/>
      </right>
      <top style="thin"/>
      <bottom style="thin">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top>
        <color indexed="63"/>
      </top>
      <bottom style="medium">
        <color indexed="8"/>
      </bottom>
    </border>
    <border>
      <left style="medium"/>
      <right style="thin">
        <color indexed="8"/>
      </right>
      <top>
        <color indexed="63"/>
      </top>
      <bottom style="medium">
        <color indexed="8"/>
      </bottom>
    </border>
    <border>
      <left style="thin">
        <color indexed="8"/>
      </left>
      <right>
        <color indexed="63"/>
      </right>
      <top>
        <color indexed="63"/>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right style="thin">
        <color indexed="8"/>
      </right>
      <top style="medium">
        <color indexed="8"/>
      </top>
      <bottom>
        <color indexed="63"/>
      </bottom>
    </border>
    <border>
      <left>
        <color indexed="63"/>
      </left>
      <right style="medium"/>
      <top style="medium"/>
      <bottom style="thin"/>
    </border>
    <border>
      <left style="thin">
        <color indexed="8"/>
      </left>
      <right style="thin"/>
      <top style="thin">
        <color indexed="8"/>
      </top>
      <bottom style="thin">
        <color indexed="8"/>
      </bottom>
    </border>
    <border>
      <left>
        <color indexed="63"/>
      </left>
      <right style="medium"/>
      <top style="thin"/>
      <bottom style="medium"/>
    </border>
    <border>
      <left/>
      <right style="medium"/>
      <top style="thin"/>
      <bottom style="thin"/>
    </border>
    <border>
      <left style="medium"/>
      <right style="thin">
        <color indexed="8"/>
      </right>
      <top style="medium">
        <color indexed="8"/>
      </top>
      <bottom style="medium"/>
    </border>
    <border>
      <left style="thin">
        <color indexed="8"/>
      </left>
      <right style="thin">
        <color indexed="8"/>
      </right>
      <top style="medium">
        <color indexed="8"/>
      </top>
      <bottom style="medium"/>
    </border>
    <border>
      <left style="thin">
        <color indexed="8"/>
      </left>
      <right style="medium"/>
      <top style="medium">
        <color indexed="8"/>
      </top>
      <bottom style="medium"/>
    </border>
    <border>
      <left style="thin">
        <color indexed="8"/>
      </left>
      <right style="thin"/>
      <top style="medium">
        <color indexed="8"/>
      </top>
      <bottom style="medium"/>
    </border>
    <border>
      <left style="thin"/>
      <right style="medium"/>
      <top style="medium"/>
      <bottom style="mediu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medium"/>
      <right style="medium"/>
      <top style="thin">
        <color indexed="8"/>
      </top>
      <bottom style="thin">
        <color indexed="8"/>
      </bottom>
    </border>
    <border>
      <left style="medium"/>
      <right>
        <color indexed="63"/>
      </right>
      <top style="thin">
        <color indexed="8"/>
      </top>
      <bottom style="thin">
        <color indexed="8"/>
      </bottom>
    </border>
    <border>
      <left style="thin"/>
      <right style="thin"/>
      <top style="thin">
        <color indexed="8"/>
      </top>
      <bottom style="thin">
        <color indexed="8"/>
      </bottom>
    </border>
    <border>
      <left style="thin"/>
      <right>
        <color indexed="63"/>
      </right>
      <top style="thin">
        <color indexed="8"/>
      </top>
      <bottom style="thin">
        <color indexed="8"/>
      </bottom>
    </border>
    <border>
      <left style="medium"/>
      <right style="thin"/>
      <top style="thin">
        <color indexed="8"/>
      </top>
      <bottom style="thin">
        <color indexed="8"/>
      </bottom>
    </border>
    <border>
      <left>
        <color indexed="63"/>
      </left>
      <right style="medium"/>
      <top style="thin">
        <color indexed="8"/>
      </top>
      <bottom style="thin">
        <color indexed="8"/>
      </bottom>
    </border>
    <border>
      <left style="medium"/>
      <right style="medium"/>
      <top style="thin">
        <color indexed="8"/>
      </top>
      <bottom style="medium"/>
    </border>
    <border>
      <left style="medium"/>
      <right>
        <color indexed="63"/>
      </right>
      <top style="thin">
        <color indexed="8"/>
      </top>
      <bottom style="medium"/>
    </border>
    <border>
      <left style="thin"/>
      <right style="thin"/>
      <top style="thin">
        <color indexed="8"/>
      </top>
      <bottom style="medium"/>
    </border>
    <border>
      <left style="thin"/>
      <right>
        <color indexed="63"/>
      </right>
      <top style="thin">
        <color indexed="8"/>
      </top>
      <bottom style="medium"/>
    </border>
    <border>
      <left style="medium"/>
      <right style="thin"/>
      <top style="thin">
        <color indexed="8"/>
      </top>
      <bottom style="medium"/>
    </border>
    <border>
      <left>
        <color indexed="63"/>
      </left>
      <right style="medium"/>
      <top style="thin">
        <color indexed="8"/>
      </top>
      <bottom style="medium"/>
    </border>
    <border>
      <left style="thin">
        <color indexed="8"/>
      </left>
      <right style="medium">
        <color indexed="8"/>
      </right>
      <top style="medium">
        <color indexed="8"/>
      </top>
      <bottom style="medium">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style="thin">
        <color indexed="8"/>
      </top>
      <bottom style="medium">
        <color indexed="8"/>
      </bottom>
    </border>
    <border>
      <left style="thin">
        <color indexed="8"/>
      </left>
      <right style="medium">
        <color indexed="8"/>
      </right>
      <top>
        <color indexed="63"/>
      </top>
      <bottom>
        <color indexed="63"/>
      </bottom>
    </border>
    <border>
      <left>
        <color indexed="63"/>
      </left>
      <right>
        <color indexed="63"/>
      </right>
      <top style="medium"/>
      <bottom style="medium"/>
    </border>
    <border>
      <left style="medium">
        <color indexed="8"/>
      </left>
      <right style="thin">
        <color indexed="8"/>
      </right>
      <top style="medium">
        <color indexed="8"/>
      </top>
      <bottom>
        <color indexed="63"/>
      </bottom>
    </border>
    <border>
      <left style="thin">
        <color indexed="8"/>
      </left>
      <right>
        <color indexed="63"/>
      </right>
      <top>
        <color indexed="63"/>
      </top>
      <bottom style="thin">
        <color indexed="8"/>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color indexed="63"/>
      </right>
      <top style="medium"/>
      <bottom style="thin">
        <color indexed="8"/>
      </bottom>
    </border>
    <border>
      <left style="medium">
        <color indexed="8"/>
      </left>
      <right style="medium">
        <color indexed="8"/>
      </right>
      <top style="medium">
        <color indexed="8"/>
      </top>
      <bottom style="medium">
        <color indexed="8"/>
      </bottom>
    </border>
    <border>
      <left style="thin">
        <color indexed="8"/>
      </left>
      <right style="medium"/>
      <top style="medium"/>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color indexed="63"/>
      </top>
      <bottom style="thin">
        <color indexed="8"/>
      </bottom>
    </border>
    <border>
      <left style="medium">
        <color indexed="8"/>
      </left>
      <right style="medium">
        <color indexed="8"/>
      </right>
      <top style="thin">
        <color indexed="8"/>
      </top>
      <bottom style="medium">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thin">
        <color indexed="8"/>
      </bottom>
    </border>
    <border>
      <left style="medium"/>
      <right style="medium"/>
      <top style="medium"/>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184" fontId="0" fillId="0" borderId="0" applyFill="0" applyBorder="0" applyAlignment="0" applyProtection="0"/>
    <xf numFmtId="41" fontId="0" fillId="0" borderId="0" applyFill="0" applyBorder="0" applyAlignment="0" applyProtection="0"/>
    <xf numFmtId="180" fontId="0" fillId="0" borderId="0" applyFill="0" applyBorder="0" applyAlignment="0" applyProtection="0"/>
    <xf numFmtId="42" fontId="0" fillId="0" borderId="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411">
    <xf numFmtId="0" fontId="0" fillId="0" borderId="0" xfId="0" applyAlignment="1">
      <alignment/>
    </xf>
    <xf numFmtId="0" fontId="1" fillId="0" borderId="0" xfId="0" applyFont="1" applyAlignment="1" applyProtection="1">
      <alignment vertical="center"/>
      <protection/>
    </xf>
    <xf numFmtId="0" fontId="2" fillId="0" borderId="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0" xfId="0" applyFont="1" applyAlignment="1" applyProtection="1">
      <alignment vertical="center"/>
      <protection/>
    </xf>
    <xf numFmtId="0" fontId="3" fillId="0" borderId="0" xfId="0" applyFont="1" applyAlignment="1" applyProtection="1">
      <alignment horizontal="right" vertical="center"/>
      <protection/>
    </xf>
    <xf numFmtId="0" fontId="3" fillId="0" borderId="10" xfId="0" applyFont="1" applyBorder="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vertical="center"/>
      <protection/>
    </xf>
    <xf numFmtId="0" fontId="5" fillId="0" borderId="0" xfId="0" applyFont="1" applyAlignment="1" applyProtection="1">
      <alignment vertical="center"/>
      <protection/>
    </xf>
    <xf numFmtId="0" fontId="0" fillId="0" borderId="0" xfId="0" applyAlignment="1" applyProtection="1">
      <alignment/>
      <protection/>
    </xf>
    <xf numFmtId="0" fontId="2" fillId="33" borderId="0" xfId="0" applyFont="1" applyFill="1" applyBorder="1" applyAlignment="1" applyProtection="1">
      <alignment vertical="center"/>
      <protection/>
    </xf>
    <xf numFmtId="181" fontId="2" fillId="33" borderId="0" xfId="48" applyNumberFormat="1" applyFont="1" applyFill="1" applyBorder="1" applyAlignment="1" applyProtection="1">
      <alignment vertical="center"/>
      <protection/>
    </xf>
    <xf numFmtId="0" fontId="0" fillId="33" borderId="0" xfId="0" applyFill="1" applyAlignment="1" applyProtection="1">
      <alignment/>
      <protection/>
    </xf>
    <xf numFmtId="0" fontId="2" fillId="33" borderId="0" xfId="0" applyFont="1" applyFill="1" applyAlignment="1" applyProtection="1">
      <alignment vertical="center"/>
      <protection/>
    </xf>
    <xf numFmtId="0" fontId="1" fillId="33" borderId="0" xfId="0" applyFont="1" applyFill="1" applyAlignment="1" applyProtection="1">
      <alignment vertical="center"/>
      <protection/>
    </xf>
    <xf numFmtId="0" fontId="2" fillId="0" borderId="0" xfId="0" applyFont="1" applyFill="1" applyBorder="1" applyAlignment="1" applyProtection="1">
      <alignment vertical="center"/>
      <protection/>
    </xf>
    <xf numFmtId="180" fontId="2" fillId="0" borderId="0" xfId="48" applyFont="1" applyFill="1" applyBorder="1" applyAlignment="1" applyProtection="1">
      <alignment vertical="center"/>
      <protection/>
    </xf>
    <xf numFmtId="0" fontId="2" fillId="0" borderId="0" xfId="0" applyFont="1" applyFill="1" applyAlignment="1" applyProtection="1">
      <alignment vertical="center"/>
      <protection/>
    </xf>
    <xf numFmtId="0" fontId="5" fillId="0" borderId="11" xfId="0" applyFont="1" applyBorder="1" applyAlignment="1" applyProtection="1">
      <alignment vertical="center"/>
      <protection/>
    </xf>
    <xf numFmtId="0" fontId="1" fillId="0" borderId="0" xfId="0" applyFont="1" applyFill="1" applyBorder="1" applyAlignment="1" applyProtection="1">
      <alignment horizontal="center" vertical="center" wrapText="1"/>
      <protection/>
    </xf>
    <xf numFmtId="0" fontId="1" fillId="0" borderId="0" xfId="0" applyFont="1" applyBorder="1" applyAlignment="1" applyProtection="1">
      <alignment vertical="center"/>
      <protection/>
    </xf>
    <xf numFmtId="0" fontId="1" fillId="0" borderId="0" xfId="0" applyFont="1" applyFill="1" applyAlignment="1" applyProtection="1">
      <alignment vertical="center"/>
      <protection/>
    </xf>
    <xf numFmtId="185" fontId="1" fillId="0" borderId="0" xfId="46" applyNumberFormat="1" applyFont="1" applyFill="1" applyBorder="1" applyAlignment="1" applyProtection="1">
      <alignment vertical="center"/>
      <protection/>
    </xf>
    <xf numFmtId="0" fontId="6" fillId="0" borderId="0" xfId="0" applyFont="1" applyAlignment="1" applyProtection="1">
      <alignment vertical="center"/>
      <protection/>
    </xf>
    <xf numFmtId="0" fontId="3" fillId="0" borderId="0" xfId="0" applyFont="1" applyAlignment="1" applyProtection="1">
      <alignment horizontal="left" vertical="center"/>
      <protection/>
    </xf>
    <xf numFmtId="0" fontId="7" fillId="0" borderId="0" xfId="0" applyFont="1" applyAlignment="1" applyProtection="1">
      <alignment/>
      <protection/>
    </xf>
    <xf numFmtId="0" fontId="8" fillId="33" borderId="0" xfId="0" applyFont="1" applyFill="1" applyBorder="1" applyAlignment="1" applyProtection="1">
      <alignment vertical="center"/>
      <protection/>
    </xf>
    <xf numFmtId="180" fontId="1" fillId="0" borderId="0" xfId="48" applyFont="1" applyFill="1" applyBorder="1" applyAlignment="1" applyProtection="1">
      <alignment vertical="center"/>
      <protection/>
    </xf>
    <xf numFmtId="0" fontId="2" fillId="33" borderId="0" xfId="0" applyFont="1" applyFill="1" applyBorder="1" applyAlignment="1" applyProtection="1">
      <alignment horizontal="left" vertical="center"/>
      <protection/>
    </xf>
    <xf numFmtId="183" fontId="9" fillId="0" borderId="12" xfId="48" applyNumberFormat="1" applyFont="1" applyFill="1" applyBorder="1" applyAlignment="1" applyProtection="1">
      <alignment vertical="center"/>
      <protection locked="0"/>
    </xf>
    <xf numFmtId="181" fontId="9" fillId="33" borderId="0" xfId="48" applyNumberFormat="1" applyFont="1" applyFill="1" applyBorder="1" applyAlignment="1" applyProtection="1">
      <alignment vertical="center"/>
      <protection locked="0"/>
    </xf>
    <xf numFmtId="0" fontId="9" fillId="33" borderId="0" xfId="0" applyFont="1" applyFill="1" applyBorder="1" applyAlignment="1" applyProtection="1">
      <alignment vertical="center"/>
      <protection/>
    </xf>
    <xf numFmtId="0" fontId="1" fillId="33" borderId="0" xfId="0" applyFont="1" applyFill="1" applyBorder="1" applyAlignment="1" applyProtection="1">
      <alignment vertical="center"/>
      <protection/>
    </xf>
    <xf numFmtId="0" fontId="2" fillId="0" borderId="10" xfId="0" applyFont="1"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0" fontId="2" fillId="0" borderId="0" xfId="0" applyFont="1" applyAlignment="1" applyProtection="1">
      <alignment horizontal="left" vertical="center"/>
      <protection/>
    </xf>
    <xf numFmtId="187" fontId="2" fillId="33" borderId="12" xfId="46" applyNumberFormat="1" applyFont="1" applyFill="1" applyBorder="1" applyAlignment="1" applyProtection="1">
      <alignment horizontal="center" vertical="center"/>
      <protection locked="0"/>
    </xf>
    <xf numFmtId="0" fontId="1" fillId="0" borderId="12" xfId="0" applyFont="1" applyFill="1" applyBorder="1" applyAlignment="1" applyProtection="1">
      <alignment vertical="center"/>
      <protection locked="0"/>
    </xf>
    <xf numFmtId="1" fontId="1" fillId="0" borderId="0" xfId="0" applyNumberFormat="1" applyFont="1" applyAlignment="1" applyProtection="1">
      <alignment vertical="center"/>
      <protection/>
    </xf>
    <xf numFmtId="0" fontId="2" fillId="0" borderId="12" xfId="0" applyFont="1" applyFill="1" applyBorder="1" applyAlignment="1" applyProtection="1">
      <alignment vertical="center"/>
      <protection locked="0"/>
    </xf>
    <xf numFmtId="3" fontId="0" fillId="0" borderId="0" xfId="0" applyNumberFormat="1" applyAlignment="1">
      <alignment/>
    </xf>
    <xf numFmtId="0" fontId="0" fillId="0" borderId="13" xfId="0" applyBorder="1" applyAlignment="1">
      <alignment/>
    </xf>
    <xf numFmtId="3" fontId="0" fillId="0" borderId="13" xfId="0" applyNumberFormat="1" applyBorder="1" applyAlignment="1">
      <alignment/>
    </xf>
    <xf numFmtId="3" fontId="0" fillId="0" borderId="14" xfId="0" applyNumberFormat="1" applyBorder="1" applyAlignment="1">
      <alignment/>
    </xf>
    <xf numFmtId="3" fontId="0" fillId="34" borderId="14" xfId="0" applyNumberFormat="1" applyFill="1" applyBorder="1" applyAlignment="1">
      <alignment/>
    </xf>
    <xf numFmtId="3" fontId="0" fillId="34" borderId="13" xfId="0" applyNumberFormat="1" applyFill="1" applyBorder="1" applyAlignment="1">
      <alignment/>
    </xf>
    <xf numFmtId="0" fontId="1" fillId="0" borderId="13" xfId="0" applyFont="1" applyBorder="1" applyAlignment="1" applyProtection="1">
      <alignment vertical="center"/>
      <protection/>
    </xf>
    <xf numFmtId="3" fontId="1" fillId="0" borderId="0" xfId="0" applyNumberFormat="1" applyFont="1" applyAlignment="1" applyProtection="1">
      <alignment vertical="center"/>
      <protection/>
    </xf>
    <xf numFmtId="0" fontId="2" fillId="35" borderId="13" xfId="0" applyFont="1" applyFill="1" applyBorder="1" applyAlignment="1" applyProtection="1">
      <alignment vertical="center"/>
      <protection/>
    </xf>
    <xf numFmtId="3" fontId="2" fillId="0" borderId="13" xfId="0" applyNumberFormat="1" applyFont="1" applyBorder="1" applyAlignment="1" applyProtection="1">
      <alignment vertical="center"/>
      <protection/>
    </xf>
    <xf numFmtId="3" fontId="1" fillId="0" borderId="13" xfId="0" applyNumberFormat="1" applyFont="1" applyBorder="1" applyAlignment="1" applyProtection="1">
      <alignment vertical="center"/>
      <protection/>
    </xf>
    <xf numFmtId="0" fontId="1" fillId="36" borderId="15" xfId="0" applyFont="1" applyFill="1" applyBorder="1" applyAlignment="1" applyProtection="1">
      <alignment horizontal="right" vertical="center"/>
      <protection/>
    </xf>
    <xf numFmtId="0" fontId="1" fillId="36" borderId="16" xfId="0" applyFont="1" applyFill="1" applyBorder="1" applyAlignment="1" applyProtection="1">
      <alignment horizontal="right" vertical="center"/>
      <protection/>
    </xf>
    <xf numFmtId="3" fontId="2" fillId="36" borderId="13" xfId="0" applyNumberFormat="1" applyFont="1" applyFill="1" applyBorder="1" applyAlignment="1" applyProtection="1">
      <alignment vertical="center"/>
      <protection/>
    </xf>
    <xf numFmtId="0" fontId="2" fillId="36" borderId="15" xfId="0" applyFont="1" applyFill="1" applyBorder="1" applyAlignment="1" applyProtection="1">
      <alignment horizontal="center" vertical="center"/>
      <protection/>
    </xf>
    <xf numFmtId="0" fontId="2" fillId="36" borderId="16" xfId="0" applyFont="1" applyFill="1" applyBorder="1" applyAlignment="1" applyProtection="1">
      <alignment horizontal="center" vertical="center"/>
      <protection/>
    </xf>
    <xf numFmtId="189" fontId="11" fillId="36" borderId="13" xfId="48" applyNumberFormat="1" applyFont="1" applyFill="1" applyBorder="1" applyAlignment="1" applyProtection="1">
      <alignment vertical="center"/>
      <protection/>
    </xf>
    <xf numFmtId="189" fontId="0" fillId="0" borderId="0" xfId="48" applyNumberFormat="1" applyAlignment="1" applyProtection="1">
      <alignment vertical="center"/>
      <protection/>
    </xf>
    <xf numFmtId="3" fontId="0" fillId="0" borderId="0" xfId="0" applyNumberFormat="1" applyAlignment="1">
      <alignment horizontal="center"/>
    </xf>
    <xf numFmtId="189" fontId="0" fillId="0" borderId="13" xfId="48" applyNumberFormat="1" applyFont="1" applyBorder="1" applyAlignment="1" applyProtection="1">
      <alignment vertical="center"/>
      <protection/>
    </xf>
    <xf numFmtId="0" fontId="5" fillId="0" borderId="0" xfId="0" applyFont="1" applyBorder="1" applyAlignment="1" applyProtection="1">
      <alignment vertical="center"/>
      <protection/>
    </xf>
    <xf numFmtId="0" fontId="55" fillId="0" borderId="0" xfId="0" applyFont="1" applyAlignment="1" applyProtection="1">
      <alignment vertical="center"/>
      <protection/>
    </xf>
    <xf numFmtId="0" fontId="1" fillId="36" borderId="17" xfId="0" applyFont="1" applyFill="1" applyBorder="1" applyAlignment="1" applyProtection="1">
      <alignment horizontal="right" vertical="center"/>
      <protection/>
    </xf>
    <xf numFmtId="189" fontId="0" fillId="36" borderId="14" xfId="48" applyNumberFormat="1" applyFont="1" applyFill="1" applyBorder="1" applyAlignment="1" applyProtection="1">
      <alignment vertical="center"/>
      <protection/>
    </xf>
    <xf numFmtId="0" fontId="56" fillId="0" borderId="18" xfId="0" applyFont="1" applyBorder="1" applyAlignment="1" applyProtection="1">
      <alignment vertical="center"/>
      <protection/>
    </xf>
    <xf numFmtId="0" fontId="1" fillId="0" borderId="19" xfId="0" applyFont="1" applyBorder="1" applyAlignment="1" applyProtection="1">
      <alignment vertical="center"/>
      <protection/>
    </xf>
    <xf numFmtId="0" fontId="56" fillId="0" borderId="20" xfId="0" applyFont="1" applyBorder="1" applyAlignment="1" applyProtection="1">
      <alignment horizontal="center" vertical="center"/>
      <protection/>
    </xf>
    <xf numFmtId="0" fontId="1" fillId="0" borderId="21" xfId="0" applyFont="1" applyBorder="1" applyAlignment="1" applyProtection="1">
      <alignment horizontal="center" vertical="center" wrapText="1"/>
      <protection/>
    </xf>
    <xf numFmtId="0" fontId="1" fillId="0" borderId="0" xfId="0" applyFont="1" applyAlignment="1" applyProtection="1">
      <alignment horizontal="center" vertical="center"/>
      <protection/>
    </xf>
    <xf numFmtId="189" fontId="0" fillId="0" borderId="13" xfId="48" applyNumberFormat="1" applyBorder="1" applyAlignment="1" applyProtection="1">
      <alignment horizontal="center" vertical="center"/>
      <protection/>
    </xf>
    <xf numFmtId="189" fontId="0" fillId="0" borderId="22" xfId="48" applyNumberFormat="1" applyBorder="1" applyAlignment="1" applyProtection="1">
      <alignment horizontal="center" vertical="center"/>
      <protection/>
    </xf>
    <xf numFmtId="189" fontId="0" fillId="0" borderId="23" xfId="48" applyNumberFormat="1" applyBorder="1" applyAlignment="1" applyProtection="1">
      <alignment horizontal="center" vertical="center"/>
      <protection/>
    </xf>
    <xf numFmtId="189" fontId="0" fillId="0" borderId="24" xfId="48" applyNumberFormat="1" applyBorder="1" applyAlignment="1" applyProtection="1">
      <alignment horizontal="center" vertical="center"/>
      <protection/>
    </xf>
    <xf numFmtId="0" fontId="1" fillId="37" borderId="25" xfId="0" applyFont="1" applyFill="1" applyBorder="1" applyAlignment="1" applyProtection="1">
      <alignment horizontal="center" vertical="center" wrapText="1"/>
      <protection/>
    </xf>
    <xf numFmtId="3" fontId="57" fillId="0" borderId="13" xfId="0" applyNumberFormat="1" applyFont="1" applyBorder="1" applyAlignment="1" applyProtection="1">
      <alignment horizontal="center" vertical="center"/>
      <protection/>
    </xf>
    <xf numFmtId="181" fontId="2" fillId="0" borderId="0" xfId="0" applyNumberFormat="1" applyFont="1" applyAlignment="1" applyProtection="1">
      <alignment vertical="center"/>
      <protection/>
    </xf>
    <xf numFmtId="0" fontId="0" fillId="0" borderId="0" xfId="0" applyFill="1" applyBorder="1" applyAlignment="1">
      <alignment/>
    </xf>
    <xf numFmtId="3" fontId="0" fillId="0" borderId="0" xfId="0" applyNumberFormat="1" applyFill="1" applyBorder="1" applyAlignment="1">
      <alignment/>
    </xf>
    <xf numFmtId="3" fontId="0" fillId="0" borderId="0" xfId="0" applyNumberFormat="1" applyFill="1" applyBorder="1" applyAlignment="1">
      <alignment horizontal="center"/>
    </xf>
    <xf numFmtId="0" fontId="1" fillId="0" borderId="0" xfId="0" applyFont="1" applyAlignment="1" applyProtection="1">
      <alignment horizontal="left" vertical="center"/>
      <protection/>
    </xf>
    <xf numFmtId="0" fontId="6" fillId="0" borderId="0" xfId="0" applyFont="1" applyAlignment="1" applyProtection="1">
      <alignment horizontal="left" vertical="center"/>
      <protection/>
    </xf>
    <xf numFmtId="0" fontId="1" fillId="0" borderId="0" xfId="0" applyFont="1" applyFill="1" applyAlignment="1" applyProtection="1">
      <alignment horizontal="left" vertical="center"/>
      <protection/>
    </xf>
    <xf numFmtId="0" fontId="0" fillId="0" borderId="15" xfId="0" applyFill="1" applyBorder="1" applyAlignment="1">
      <alignment/>
    </xf>
    <xf numFmtId="0" fontId="0" fillId="0" borderId="16" xfId="0" applyFill="1" applyBorder="1" applyAlignment="1">
      <alignment/>
    </xf>
    <xf numFmtId="189" fontId="0" fillId="0" borderId="13" xfId="48" applyNumberFormat="1" applyFont="1" applyBorder="1" applyAlignment="1" applyProtection="1">
      <alignment vertical="center"/>
      <protection/>
    </xf>
    <xf numFmtId="190" fontId="0" fillId="36" borderId="26" xfId="46" applyNumberFormat="1" applyFill="1" applyBorder="1" applyAlignment="1" applyProtection="1">
      <alignment horizontal="center" vertical="center"/>
      <protection/>
    </xf>
    <xf numFmtId="0" fontId="14" fillId="0" borderId="0" xfId="0" applyFont="1" applyAlignment="1">
      <alignment/>
    </xf>
    <xf numFmtId="0" fontId="1" fillId="36" borderId="0" xfId="0" applyFont="1" applyFill="1" applyAlignment="1" applyProtection="1">
      <alignment horizontal="left" vertical="center"/>
      <protection/>
    </xf>
    <xf numFmtId="0" fontId="1" fillId="36" borderId="0" xfId="0" applyFont="1" applyFill="1" applyAlignment="1" applyProtection="1">
      <alignment vertical="center"/>
      <protection/>
    </xf>
    <xf numFmtId="181" fontId="1" fillId="0" borderId="0" xfId="0" applyNumberFormat="1" applyFont="1" applyAlignment="1" applyProtection="1">
      <alignment vertical="center"/>
      <protection/>
    </xf>
    <xf numFmtId="183" fontId="1" fillId="0" borderId="0" xfId="0" applyNumberFormat="1" applyFont="1" applyAlignment="1" applyProtection="1">
      <alignment vertical="center"/>
      <protection/>
    </xf>
    <xf numFmtId="0" fontId="0" fillId="0" borderId="0" xfId="0" applyFill="1" applyBorder="1" applyAlignment="1" applyProtection="1">
      <alignment vertical="center" wrapText="1"/>
      <protection locked="0"/>
    </xf>
    <xf numFmtId="187" fontId="2" fillId="0" borderId="0" xfId="46" applyNumberFormat="1" applyFont="1" applyFill="1" applyBorder="1" applyAlignment="1" applyProtection="1">
      <alignment horizontal="center" vertical="center"/>
      <protection/>
    </xf>
    <xf numFmtId="0" fontId="2" fillId="0" borderId="0" xfId="0" applyFont="1" applyFill="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0" xfId="0" applyFont="1" applyFill="1" applyAlignment="1" applyProtection="1">
      <alignment horizontal="left" vertical="center"/>
      <protection/>
    </xf>
    <xf numFmtId="0" fontId="2" fillId="38" borderId="27" xfId="0" applyFont="1" applyFill="1" applyBorder="1" applyAlignment="1" applyProtection="1">
      <alignment vertical="center"/>
      <protection/>
    </xf>
    <xf numFmtId="0" fontId="2" fillId="38" borderId="28" xfId="0" applyFont="1" applyFill="1" applyBorder="1" applyAlignment="1" applyProtection="1">
      <alignment vertical="center"/>
      <protection/>
    </xf>
    <xf numFmtId="0" fontId="1" fillId="39" borderId="12" xfId="0" applyFont="1" applyFill="1" applyBorder="1" applyAlignment="1" applyProtection="1">
      <alignment vertical="center" wrapText="1"/>
      <protection/>
    </xf>
    <xf numFmtId="0" fontId="1" fillId="40" borderId="27" xfId="0" applyFont="1" applyFill="1" applyBorder="1" applyAlignment="1" applyProtection="1">
      <alignment horizontal="center" vertical="center" wrapText="1"/>
      <protection/>
    </xf>
    <xf numFmtId="0" fontId="1" fillId="41" borderId="27" xfId="0" applyFont="1" applyFill="1" applyBorder="1" applyAlignment="1" applyProtection="1">
      <alignment horizontal="center" vertical="center" wrapText="1"/>
      <protection/>
    </xf>
    <xf numFmtId="0" fontId="0" fillId="42" borderId="12" xfId="0" applyFont="1" applyFill="1" applyBorder="1" applyAlignment="1" applyProtection="1">
      <alignment horizontal="center"/>
      <protection/>
    </xf>
    <xf numFmtId="0" fontId="1" fillId="43" borderId="12" xfId="0" applyFont="1" applyFill="1" applyBorder="1" applyAlignment="1" applyProtection="1">
      <alignment horizontal="center" vertical="center" wrapText="1"/>
      <protection/>
    </xf>
    <xf numFmtId="181" fontId="1" fillId="39" borderId="12" xfId="48" applyNumberFormat="1" applyFont="1" applyFill="1" applyBorder="1" applyAlignment="1" applyProtection="1">
      <alignment horizontal="center" vertical="center"/>
      <protection/>
    </xf>
    <xf numFmtId="181" fontId="1" fillId="33" borderId="12" xfId="48" applyNumberFormat="1" applyFont="1" applyFill="1" applyBorder="1" applyAlignment="1" applyProtection="1">
      <alignment horizontal="center" vertical="center"/>
      <protection locked="0"/>
    </xf>
    <xf numFmtId="0" fontId="2" fillId="44" borderId="28" xfId="0" applyFont="1" applyFill="1" applyBorder="1" applyAlignment="1" applyProtection="1">
      <alignment horizontal="center" vertical="center"/>
      <protection/>
    </xf>
    <xf numFmtId="0" fontId="1" fillId="43" borderId="29" xfId="0" applyFont="1" applyFill="1" applyBorder="1" applyAlignment="1" applyProtection="1">
      <alignment vertical="center" wrapText="1"/>
      <protection/>
    </xf>
    <xf numFmtId="0" fontId="1" fillId="43" borderId="30" xfId="0" applyFont="1" applyFill="1" applyBorder="1" applyAlignment="1" applyProtection="1">
      <alignment horizontal="center" vertical="center" wrapText="1"/>
      <protection/>
    </xf>
    <xf numFmtId="0" fontId="1" fillId="43" borderId="31" xfId="0" applyFont="1" applyFill="1" applyBorder="1" applyAlignment="1" applyProtection="1">
      <alignment horizontal="center" vertical="center" wrapText="1"/>
      <protection/>
    </xf>
    <xf numFmtId="0" fontId="1" fillId="43" borderId="32" xfId="0" applyFont="1" applyFill="1" applyBorder="1" applyAlignment="1" applyProtection="1">
      <alignment horizontal="center" vertical="center" wrapText="1"/>
      <protection/>
    </xf>
    <xf numFmtId="181" fontId="2" fillId="43" borderId="33" xfId="48" applyNumberFormat="1" applyFont="1" applyFill="1" applyBorder="1" applyAlignment="1" applyProtection="1">
      <alignment vertical="center"/>
      <protection/>
    </xf>
    <xf numFmtId="0" fontId="2" fillId="43" borderId="12" xfId="0" applyFont="1" applyFill="1" applyBorder="1" applyAlignment="1" applyProtection="1">
      <alignment horizontal="center" vertical="center"/>
      <protection/>
    </xf>
    <xf numFmtId="0" fontId="2" fillId="43" borderId="12" xfId="0" applyFont="1" applyFill="1" applyBorder="1" applyAlignment="1" applyProtection="1">
      <alignment horizontal="center" vertical="center" wrapText="1"/>
      <protection/>
    </xf>
    <xf numFmtId="0" fontId="2" fillId="43" borderId="34" xfId="0" applyFont="1" applyFill="1" applyBorder="1" applyAlignment="1" applyProtection="1">
      <alignment horizontal="center" vertical="center" wrapText="1"/>
      <protection/>
    </xf>
    <xf numFmtId="0" fontId="1" fillId="43" borderId="10" xfId="0" applyFont="1" applyFill="1" applyBorder="1" applyAlignment="1" applyProtection="1">
      <alignment vertical="center" wrapText="1"/>
      <protection/>
    </xf>
    <xf numFmtId="0" fontId="1" fillId="43" borderId="35" xfId="0" applyFont="1" applyFill="1" applyBorder="1" applyAlignment="1" applyProtection="1">
      <alignment horizontal="center" vertical="center" wrapText="1"/>
      <protection/>
    </xf>
    <xf numFmtId="0" fontId="1" fillId="43" borderId="36" xfId="0" applyFont="1" applyFill="1" applyBorder="1" applyAlignment="1" applyProtection="1">
      <alignment horizontal="center" vertical="center" wrapText="1"/>
      <protection/>
    </xf>
    <xf numFmtId="0" fontId="1" fillId="40" borderId="37" xfId="0" applyFont="1" applyFill="1" applyBorder="1" applyAlignment="1" applyProtection="1">
      <alignment horizontal="center" vertical="center" wrapText="1"/>
      <protection/>
    </xf>
    <xf numFmtId="0" fontId="1" fillId="45" borderId="38" xfId="0" applyFont="1" applyFill="1" applyBorder="1" applyAlignment="1" applyProtection="1">
      <alignment horizontal="center" vertical="center" wrapText="1"/>
      <protection/>
    </xf>
    <xf numFmtId="0" fontId="1" fillId="45" borderId="30" xfId="0" applyFont="1" applyFill="1" applyBorder="1" applyAlignment="1" applyProtection="1">
      <alignment horizontal="center" vertical="center" wrapText="1"/>
      <protection/>
    </xf>
    <xf numFmtId="0" fontId="1" fillId="46" borderId="30" xfId="0" applyFont="1" applyFill="1" applyBorder="1" applyAlignment="1" applyProtection="1">
      <alignment horizontal="center" vertical="center" wrapText="1"/>
      <protection/>
    </xf>
    <xf numFmtId="0" fontId="1" fillId="41" borderId="30" xfId="0" applyFont="1" applyFill="1" applyBorder="1" applyAlignment="1" applyProtection="1">
      <alignment horizontal="center" vertical="center" wrapText="1"/>
      <protection/>
    </xf>
    <xf numFmtId="0" fontId="1" fillId="41" borderId="39" xfId="0" applyFont="1" applyFill="1" applyBorder="1" applyAlignment="1" applyProtection="1">
      <alignment horizontal="center" vertical="center" wrapText="1"/>
      <protection/>
    </xf>
    <xf numFmtId="181" fontId="1" fillId="47" borderId="12" xfId="48" applyNumberFormat="1" applyFont="1" applyFill="1" applyBorder="1" applyAlignment="1" applyProtection="1">
      <alignment vertical="center"/>
      <protection/>
    </xf>
    <xf numFmtId="181" fontId="1" fillId="48" borderId="12" xfId="48" applyNumberFormat="1" applyFont="1" applyFill="1" applyBorder="1" applyAlignment="1" applyProtection="1">
      <alignment vertical="center"/>
      <protection/>
    </xf>
    <xf numFmtId="0" fontId="2" fillId="49" borderId="40" xfId="0" applyFont="1" applyFill="1" applyBorder="1" applyAlignment="1" applyProtection="1">
      <alignment vertical="center" wrapText="1"/>
      <protection/>
    </xf>
    <xf numFmtId="0" fontId="1" fillId="50" borderId="41" xfId="0" applyFont="1" applyFill="1" applyBorder="1" applyAlignment="1" applyProtection="1">
      <alignment vertical="center" wrapText="1"/>
      <protection/>
    </xf>
    <xf numFmtId="0" fontId="1" fillId="51" borderId="27" xfId="0" applyFont="1" applyFill="1" applyBorder="1" applyAlignment="1" applyProtection="1">
      <alignment vertical="center" wrapText="1"/>
      <protection/>
    </xf>
    <xf numFmtId="0" fontId="1" fillId="46" borderId="42" xfId="0" applyFont="1" applyFill="1" applyBorder="1" applyAlignment="1" applyProtection="1">
      <alignment vertical="center" wrapText="1"/>
      <protection/>
    </xf>
    <xf numFmtId="0" fontId="2" fillId="49" borderId="43" xfId="0" applyFont="1" applyFill="1" applyBorder="1" applyAlignment="1" applyProtection="1">
      <alignment vertical="center" wrapText="1"/>
      <protection/>
    </xf>
    <xf numFmtId="42" fontId="1" fillId="0" borderId="44" xfId="48" applyNumberFormat="1" applyFont="1" applyFill="1" applyBorder="1" applyAlignment="1" applyProtection="1">
      <alignment horizontal="center" vertical="center" wrapText="1"/>
      <protection/>
    </xf>
    <xf numFmtId="42" fontId="1" fillId="0" borderId="45" xfId="48" applyNumberFormat="1" applyFont="1" applyFill="1" applyBorder="1" applyAlignment="1" applyProtection="1">
      <alignment horizontal="center" vertical="center" wrapText="1"/>
      <protection/>
    </xf>
    <xf numFmtId="182" fontId="1" fillId="0" borderId="46" xfId="48" applyNumberFormat="1" applyFont="1" applyFill="1" applyBorder="1" applyAlignment="1" applyProtection="1">
      <alignment horizontal="center" vertical="center"/>
      <protection locked="0"/>
    </xf>
    <xf numFmtId="182" fontId="1" fillId="0" borderId="47" xfId="48" applyNumberFormat="1" applyFont="1" applyFill="1" applyBorder="1" applyAlignment="1" applyProtection="1">
      <alignment horizontal="center" vertical="center"/>
      <protection locked="0"/>
    </xf>
    <xf numFmtId="182" fontId="1" fillId="0" borderId="48" xfId="48" applyNumberFormat="1" applyFont="1" applyFill="1" applyBorder="1" applyAlignment="1" applyProtection="1">
      <alignment horizontal="center" vertical="center"/>
      <protection locked="0"/>
    </xf>
    <xf numFmtId="182" fontId="1" fillId="0" borderId="49" xfId="48" applyNumberFormat="1" applyFont="1" applyFill="1" applyBorder="1" applyAlignment="1" applyProtection="1">
      <alignment horizontal="center" vertical="center"/>
      <protection locked="0"/>
    </xf>
    <xf numFmtId="182" fontId="1" fillId="0" borderId="50" xfId="48" applyNumberFormat="1" applyFont="1" applyFill="1" applyBorder="1" applyAlignment="1" applyProtection="1">
      <alignment horizontal="center" vertical="center"/>
      <protection locked="0"/>
    </xf>
    <xf numFmtId="3" fontId="1" fillId="52" borderId="51" xfId="48" applyNumberFormat="1" applyFont="1" applyFill="1" applyBorder="1" applyAlignment="1" applyProtection="1">
      <alignment horizontal="center" vertical="center"/>
      <protection/>
    </xf>
    <xf numFmtId="3" fontId="1" fillId="52" borderId="52" xfId="48" applyNumberFormat="1" applyFont="1" applyFill="1" applyBorder="1" applyAlignment="1" applyProtection="1">
      <alignment horizontal="center" vertical="center"/>
      <protection/>
    </xf>
    <xf numFmtId="3" fontId="1" fillId="52" borderId="53" xfId="48" applyNumberFormat="1" applyFont="1" applyFill="1" applyBorder="1" applyAlignment="1" applyProtection="1">
      <alignment horizontal="center" vertical="center"/>
      <protection/>
    </xf>
    <xf numFmtId="3" fontId="1" fillId="52" borderId="54" xfId="48" applyNumberFormat="1" applyFont="1" applyFill="1" applyBorder="1" applyAlignment="1" applyProtection="1">
      <alignment horizontal="center" vertical="center"/>
      <protection/>
    </xf>
    <xf numFmtId="1" fontId="1" fillId="0" borderId="55" xfId="48" applyNumberFormat="1" applyFont="1" applyFill="1" applyBorder="1" applyAlignment="1" applyProtection="1">
      <alignment horizontal="center" vertical="center"/>
      <protection locked="0"/>
    </xf>
    <xf numFmtId="1" fontId="1" fillId="0" borderId="12" xfId="48" applyNumberFormat="1" applyFont="1" applyFill="1" applyBorder="1" applyAlignment="1" applyProtection="1">
      <alignment horizontal="center" vertical="center"/>
      <protection locked="0"/>
    </xf>
    <xf numFmtId="1" fontId="1" fillId="0" borderId="56" xfId="48" applyNumberFormat="1" applyFont="1" applyFill="1" applyBorder="1" applyAlignment="1" applyProtection="1">
      <alignment horizontal="center" vertical="center"/>
      <protection locked="0"/>
    </xf>
    <xf numFmtId="1" fontId="1" fillId="0" borderId="57" xfId="48" applyNumberFormat="1" applyFont="1" applyFill="1" applyBorder="1" applyAlignment="1" applyProtection="1">
      <alignment horizontal="center" vertical="center"/>
      <protection locked="0"/>
    </xf>
    <xf numFmtId="1" fontId="1" fillId="0" borderId="27" xfId="48" applyNumberFormat="1" applyFont="1" applyFill="1" applyBorder="1" applyAlignment="1" applyProtection="1">
      <alignment horizontal="center" vertical="center"/>
      <protection locked="0"/>
    </xf>
    <xf numFmtId="1" fontId="1" fillId="0" borderId="22" xfId="48" applyNumberFormat="1" applyFont="1" applyFill="1" applyBorder="1" applyAlignment="1" applyProtection="1">
      <alignment horizontal="center" vertical="center"/>
      <protection locked="0"/>
    </xf>
    <xf numFmtId="3" fontId="1" fillId="52" borderId="58" xfId="48" applyNumberFormat="1" applyFont="1" applyFill="1" applyBorder="1" applyAlignment="1" applyProtection="1">
      <alignment horizontal="center" vertical="center"/>
      <protection/>
    </xf>
    <xf numFmtId="3" fontId="1" fillId="52" borderId="59" xfId="48" applyNumberFormat="1" applyFont="1" applyFill="1" applyBorder="1" applyAlignment="1" applyProtection="1">
      <alignment horizontal="center" vertical="center"/>
      <protection/>
    </xf>
    <xf numFmtId="3" fontId="1" fillId="52" borderId="60" xfId="48" applyNumberFormat="1" applyFont="1" applyFill="1" applyBorder="1" applyAlignment="1" applyProtection="1">
      <alignment horizontal="center" vertical="center"/>
      <protection/>
    </xf>
    <xf numFmtId="3" fontId="1" fillId="52" borderId="61" xfId="48" applyNumberFormat="1" applyFont="1" applyFill="1" applyBorder="1" applyAlignment="1" applyProtection="1">
      <alignment horizontal="center" vertical="center"/>
      <protection/>
    </xf>
    <xf numFmtId="183" fontId="1" fillId="46" borderId="62" xfId="48" applyNumberFormat="1" applyFont="1" applyFill="1" applyBorder="1" applyAlignment="1" applyProtection="1">
      <alignment horizontal="center" vertical="center"/>
      <protection/>
    </xf>
    <xf numFmtId="183" fontId="1" fillId="46" borderId="63" xfId="48" applyNumberFormat="1" applyFont="1" applyFill="1" applyBorder="1" applyAlignment="1" applyProtection="1">
      <alignment horizontal="center" vertical="center"/>
      <protection/>
    </xf>
    <xf numFmtId="183" fontId="1" fillId="46" borderId="64" xfId="0" applyNumberFormat="1" applyFont="1" applyFill="1" applyBorder="1" applyAlignment="1" applyProtection="1">
      <alignment horizontal="center" vertical="center"/>
      <protection/>
    </xf>
    <xf numFmtId="183" fontId="1" fillId="46" borderId="65" xfId="48" applyNumberFormat="1" applyFont="1" applyFill="1" applyBorder="1" applyAlignment="1" applyProtection="1">
      <alignment horizontal="center" vertical="center"/>
      <protection/>
    </xf>
    <xf numFmtId="183" fontId="1" fillId="46" borderId="66" xfId="0" applyNumberFormat="1" applyFont="1" applyFill="1" applyBorder="1" applyAlignment="1" applyProtection="1">
      <alignment horizontal="center" vertical="center"/>
      <protection/>
    </xf>
    <xf numFmtId="183" fontId="1" fillId="46" borderId="24" xfId="0" applyNumberFormat="1" applyFont="1" applyFill="1" applyBorder="1" applyAlignment="1" applyProtection="1">
      <alignment horizontal="center" vertical="center"/>
      <protection/>
    </xf>
    <xf numFmtId="183" fontId="1" fillId="46" borderId="67" xfId="48" applyNumberFormat="1" applyFont="1" applyFill="1" applyBorder="1" applyAlignment="1" applyProtection="1">
      <alignment horizontal="center" vertical="center"/>
      <protection/>
    </xf>
    <xf numFmtId="183" fontId="1" fillId="46" borderId="68" xfId="48" applyNumberFormat="1" applyFont="1" applyFill="1" applyBorder="1" applyAlignment="1" applyProtection="1">
      <alignment horizontal="center" vertical="center"/>
      <protection/>
    </xf>
    <xf numFmtId="183" fontId="1" fillId="46" borderId="42" xfId="48" applyNumberFormat="1" applyFont="1" applyFill="1" applyBorder="1" applyAlignment="1" applyProtection="1">
      <alignment horizontal="center" vertical="center"/>
      <protection/>
    </xf>
    <xf numFmtId="183" fontId="1" fillId="46" borderId="69" xfId="48" applyNumberFormat="1" applyFont="1" applyFill="1" applyBorder="1" applyAlignment="1" applyProtection="1">
      <alignment horizontal="center" vertical="center"/>
      <protection/>
    </xf>
    <xf numFmtId="182" fontId="1" fillId="0" borderId="70" xfId="48" applyNumberFormat="1" applyFont="1" applyFill="1" applyBorder="1" applyAlignment="1" applyProtection="1">
      <alignment horizontal="center" vertical="center"/>
      <protection locked="0"/>
    </xf>
    <xf numFmtId="182" fontId="1" fillId="0" borderId="71" xfId="48" applyNumberFormat="1" applyFont="1" applyFill="1" applyBorder="1" applyAlignment="1" applyProtection="1">
      <alignment horizontal="center" vertical="center"/>
      <protection locked="0"/>
    </xf>
    <xf numFmtId="183" fontId="1" fillId="52" borderId="51" xfId="48" applyNumberFormat="1" applyFont="1" applyFill="1" applyBorder="1" applyAlignment="1" applyProtection="1">
      <alignment horizontal="center" vertical="center"/>
      <protection/>
    </xf>
    <xf numFmtId="183" fontId="1" fillId="52" borderId="52" xfId="48" applyNumberFormat="1" applyFont="1" applyFill="1" applyBorder="1" applyAlignment="1" applyProtection="1">
      <alignment horizontal="center" vertical="center"/>
      <protection/>
    </xf>
    <xf numFmtId="183" fontId="1" fillId="52" borderId="53" xfId="48" applyNumberFormat="1" applyFont="1" applyFill="1" applyBorder="1" applyAlignment="1" applyProtection="1">
      <alignment horizontal="center" vertical="center"/>
      <protection/>
    </xf>
    <xf numFmtId="183" fontId="1" fillId="52" borderId="54" xfId="48" applyNumberFormat="1" applyFont="1" applyFill="1" applyBorder="1" applyAlignment="1" applyProtection="1">
      <alignment horizontal="center" vertical="center"/>
      <protection/>
    </xf>
    <xf numFmtId="1" fontId="1" fillId="0" borderId="72" xfId="48" applyNumberFormat="1" applyFont="1" applyFill="1" applyBorder="1" applyAlignment="1" applyProtection="1">
      <alignment horizontal="center" vertical="center"/>
      <protection locked="0"/>
    </xf>
    <xf numFmtId="183" fontId="1" fillId="52" borderId="58" xfId="48" applyNumberFormat="1" applyFont="1" applyFill="1" applyBorder="1" applyAlignment="1" applyProtection="1">
      <alignment horizontal="center" vertical="center"/>
      <protection/>
    </xf>
    <xf numFmtId="183" fontId="1" fillId="52" borderId="59" xfId="48" applyNumberFormat="1" applyFont="1" applyFill="1" applyBorder="1" applyAlignment="1" applyProtection="1">
      <alignment horizontal="center" vertical="center"/>
      <protection/>
    </xf>
    <xf numFmtId="183" fontId="1" fillId="52" borderId="60" xfId="48" applyNumberFormat="1" applyFont="1" applyFill="1" applyBorder="1" applyAlignment="1" applyProtection="1">
      <alignment horizontal="center" vertical="center"/>
      <protection/>
    </xf>
    <xf numFmtId="183" fontId="1" fillId="52" borderId="61" xfId="48" applyNumberFormat="1" applyFont="1" applyFill="1" applyBorder="1" applyAlignment="1" applyProtection="1">
      <alignment horizontal="center" vertical="center"/>
      <protection/>
    </xf>
    <xf numFmtId="183" fontId="1" fillId="46" borderId="32" xfId="0" applyNumberFormat="1" applyFont="1" applyFill="1" applyBorder="1" applyAlignment="1" applyProtection="1">
      <alignment horizontal="center" vertical="center"/>
      <protection/>
    </xf>
    <xf numFmtId="183" fontId="1" fillId="46" borderId="73" xfId="0" applyNumberFormat="1" applyFont="1" applyFill="1" applyBorder="1" applyAlignment="1" applyProtection="1">
      <alignment horizontal="center" vertical="center"/>
      <protection/>
    </xf>
    <xf numFmtId="182" fontId="1" fillId="0" borderId="74" xfId="48" applyNumberFormat="1" applyFont="1" applyFill="1" applyBorder="1" applyAlignment="1" applyProtection="1">
      <alignment horizontal="center" vertical="center"/>
      <protection locked="0"/>
    </xf>
    <xf numFmtId="183" fontId="2" fillId="49" borderId="75" xfId="48" applyNumberFormat="1" applyFont="1" applyFill="1" applyBorder="1" applyAlignment="1" applyProtection="1">
      <alignment horizontal="center" vertical="center" wrapText="1"/>
      <protection/>
    </xf>
    <xf numFmtId="183" fontId="2" fillId="49" borderId="76" xfId="48" applyNumberFormat="1" applyFont="1" applyFill="1" applyBorder="1" applyAlignment="1" applyProtection="1">
      <alignment horizontal="center" vertical="center" wrapText="1"/>
      <protection/>
    </xf>
    <xf numFmtId="183" fontId="2" fillId="49" borderId="77" xfId="48" applyNumberFormat="1" applyFont="1" applyFill="1" applyBorder="1" applyAlignment="1" applyProtection="1">
      <alignment horizontal="center" vertical="center" wrapText="1"/>
      <protection/>
    </xf>
    <xf numFmtId="183" fontId="2" fillId="49" borderId="78" xfId="48" applyNumberFormat="1" applyFont="1" applyFill="1" applyBorder="1" applyAlignment="1" applyProtection="1">
      <alignment horizontal="center" vertical="center" wrapText="1"/>
      <protection/>
    </xf>
    <xf numFmtId="183" fontId="2" fillId="49" borderId="79" xfId="48" applyNumberFormat="1" applyFont="1" applyFill="1" applyBorder="1" applyAlignment="1" applyProtection="1">
      <alignment horizontal="center" vertical="center" wrapText="1"/>
      <protection/>
    </xf>
    <xf numFmtId="183" fontId="2" fillId="49" borderId="80" xfId="48" applyNumberFormat="1" applyFont="1" applyFill="1" applyBorder="1" applyAlignment="1" applyProtection="1">
      <alignment horizontal="center" vertical="center" wrapText="1"/>
      <protection/>
    </xf>
    <xf numFmtId="183" fontId="2" fillId="49" borderId="81" xfId="48" applyNumberFormat="1" applyFont="1" applyFill="1" applyBorder="1" applyAlignment="1" applyProtection="1">
      <alignment horizontal="center" vertical="center" wrapText="1"/>
      <protection/>
    </xf>
    <xf numFmtId="0" fontId="2" fillId="53" borderId="12" xfId="0" applyFont="1" applyFill="1" applyBorder="1" applyAlignment="1" applyProtection="1">
      <alignment vertical="center"/>
      <protection/>
    </xf>
    <xf numFmtId="183" fontId="8" fillId="53" borderId="12" xfId="48" applyNumberFormat="1" applyFont="1" applyFill="1" applyBorder="1" applyAlignment="1" applyProtection="1">
      <alignment vertical="center"/>
      <protection/>
    </xf>
    <xf numFmtId="0" fontId="8" fillId="53" borderId="27" xfId="0" applyFont="1" applyFill="1" applyBorder="1" applyAlignment="1" applyProtection="1">
      <alignment horizontal="left" vertical="center"/>
      <protection/>
    </xf>
    <xf numFmtId="0" fontId="8" fillId="54" borderId="30" xfId="0" applyFont="1" applyFill="1" applyBorder="1" applyAlignment="1" applyProtection="1">
      <alignment vertical="center"/>
      <protection/>
    </xf>
    <xf numFmtId="181" fontId="8" fillId="54" borderId="30" xfId="48" applyNumberFormat="1" applyFont="1" applyFill="1" applyBorder="1" applyAlignment="1" applyProtection="1">
      <alignment vertical="center"/>
      <protection/>
    </xf>
    <xf numFmtId="0" fontId="2" fillId="55" borderId="12" xfId="0" applyFont="1" applyFill="1" applyBorder="1" applyAlignment="1" applyProtection="1">
      <alignment vertical="center" wrapText="1"/>
      <protection/>
    </xf>
    <xf numFmtId="0" fontId="8" fillId="44" borderId="12" xfId="0" applyFont="1" applyFill="1" applyBorder="1" applyAlignment="1" applyProtection="1">
      <alignment horizontal="center" vertical="center"/>
      <protection/>
    </xf>
    <xf numFmtId="0" fontId="2" fillId="44" borderId="12" xfId="0" applyFont="1" applyFill="1" applyBorder="1" applyAlignment="1" applyProtection="1">
      <alignment horizontal="center" vertical="center"/>
      <protection/>
    </xf>
    <xf numFmtId="0" fontId="9" fillId="37" borderId="12" xfId="0" applyFont="1" applyFill="1" applyBorder="1" applyAlignment="1" applyProtection="1">
      <alignment vertical="center"/>
      <protection/>
    </xf>
    <xf numFmtId="0" fontId="1" fillId="39" borderId="12" xfId="0" applyFont="1" applyFill="1" applyBorder="1" applyAlignment="1" applyProtection="1">
      <alignment vertical="center"/>
      <protection/>
    </xf>
    <xf numFmtId="183" fontId="9" fillId="2" borderId="12" xfId="48" applyNumberFormat="1" applyFont="1" applyFill="1" applyBorder="1" applyAlignment="1" applyProtection="1">
      <alignment vertical="center"/>
      <protection locked="0"/>
    </xf>
    <xf numFmtId="183" fontId="9" fillId="36" borderId="12" xfId="48" applyNumberFormat="1" applyFont="1" applyFill="1" applyBorder="1" applyAlignment="1" applyProtection="1">
      <alignment vertical="center"/>
      <protection locked="0"/>
    </xf>
    <xf numFmtId="0" fontId="1" fillId="37" borderId="12" xfId="0" applyFont="1" applyFill="1" applyBorder="1" applyAlignment="1" applyProtection="1">
      <alignment vertical="center"/>
      <protection/>
    </xf>
    <xf numFmtId="183" fontId="1" fillId="36" borderId="12" xfId="48" applyNumberFormat="1" applyFont="1" applyFill="1" applyBorder="1" applyAlignment="1" applyProtection="1">
      <alignment vertical="center"/>
      <protection locked="0"/>
    </xf>
    <xf numFmtId="0" fontId="1" fillId="43" borderId="57" xfId="0" applyFont="1" applyFill="1" applyBorder="1" applyAlignment="1" applyProtection="1">
      <alignment horizontal="center" vertical="center" wrapText="1"/>
      <protection/>
    </xf>
    <xf numFmtId="0" fontId="1" fillId="43" borderId="27" xfId="0" applyFont="1" applyFill="1" applyBorder="1" applyAlignment="1" applyProtection="1">
      <alignment horizontal="center" vertical="center" wrapText="1"/>
      <protection/>
    </xf>
    <xf numFmtId="0" fontId="1" fillId="43" borderId="56" xfId="0" applyFont="1" applyFill="1" applyBorder="1" applyAlignment="1" applyProtection="1">
      <alignment horizontal="center" vertical="center" wrapText="1"/>
      <protection/>
    </xf>
    <xf numFmtId="0" fontId="1" fillId="37" borderId="82" xfId="0" applyFont="1" applyFill="1" applyBorder="1" applyAlignment="1" applyProtection="1">
      <alignment vertical="center" wrapText="1"/>
      <protection/>
    </xf>
    <xf numFmtId="181" fontId="1" fillId="37" borderId="83" xfId="48" applyNumberFormat="1" applyFont="1" applyFill="1" applyBorder="1" applyAlignment="1" applyProtection="1">
      <alignment vertical="center"/>
      <protection/>
    </xf>
    <xf numFmtId="181" fontId="1" fillId="37" borderId="84" xfId="48" applyNumberFormat="1" applyFont="1" applyFill="1" applyBorder="1" applyAlignment="1" applyProtection="1">
      <alignment vertical="center"/>
      <protection/>
    </xf>
    <xf numFmtId="181" fontId="1" fillId="37" borderId="85" xfId="48" applyNumberFormat="1" applyFont="1" applyFill="1" applyBorder="1" applyAlignment="1" applyProtection="1">
      <alignment vertical="center"/>
      <protection/>
    </xf>
    <xf numFmtId="181" fontId="1" fillId="37" borderId="86" xfId="48" applyNumberFormat="1" applyFont="1" applyFill="1" applyBorder="1" applyAlignment="1" applyProtection="1">
      <alignment vertical="center"/>
      <protection/>
    </xf>
    <xf numFmtId="181" fontId="1" fillId="37" borderId="87" xfId="48" applyNumberFormat="1" applyFont="1" applyFill="1" applyBorder="1" applyAlignment="1" applyProtection="1">
      <alignment vertical="center"/>
      <protection/>
    </xf>
    <xf numFmtId="0" fontId="1" fillId="37" borderId="88" xfId="0" applyFont="1" applyFill="1" applyBorder="1" applyAlignment="1" applyProtection="1">
      <alignment vertical="center" wrapText="1"/>
      <protection/>
    </xf>
    <xf numFmtId="181" fontId="1" fillId="37" borderId="89" xfId="48" applyNumberFormat="1" applyFont="1" applyFill="1" applyBorder="1" applyAlignment="1" applyProtection="1">
      <alignment vertical="center"/>
      <protection/>
    </xf>
    <xf numFmtId="181" fontId="1" fillId="37" borderId="90" xfId="48" applyNumberFormat="1" applyFont="1" applyFill="1" applyBorder="1" applyAlignment="1" applyProtection="1">
      <alignment vertical="center"/>
      <protection/>
    </xf>
    <xf numFmtId="181" fontId="1" fillId="37" borderId="91" xfId="48" applyNumberFormat="1" applyFont="1" applyFill="1" applyBorder="1" applyAlignment="1" applyProtection="1">
      <alignment vertical="center"/>
      <protection/>
    </xf>
    <xf numFmtId="181" fontId="1" fillId="37" borderId="92" xfId="48" applyNumberFormat="1" applyFont="1" applyFill="1" applyBorder="1" applyAlignment="1" applyProtection="1">
      <alignment vertical="center"/>
      <protection/>
    </xf>
    <xf numFmtId="181" fontId="1" fillId="37" borderId="93" xfId="48" applyNumberFormat="1" applyFont="1" applyFill="1" applyBorder="1" applyAlignment="1" applyProtection="1">
      <alignment vertical="center"/>
      <protection/>
    </xf>
    <xf numFmtId="0" fontId="1" fillId="39" borderId="82" xfId="0" applyFont="1" applyFill="1" applyBorder="1" applyAlignment="1" applyProtection="1">
      <alignment vertical="center" wrapText="1"/>
      <protection/>
    </xf>
    <xf numFmtId="181" fontId="1" fillId="39" borderId="83" xfId="48" applyNumberFormat="1" applyFont="1" applyFill="1" applyBorder="1" applyAlignment="1" applyProtection="1">
      <alignment vertical="center"/>
      <protection/>
    </xf>
    <xf numFmtId="181" fontId="1" fillId="39" borderId="84" xfId="48" applyNumberFormat="1" applyFont="1" applyFill="1" applyBorder="1" applyAlignment="1" applyProtection="1">
      <alignment vertical="center"/>
      <protection/>
    </xf>
    <xf numFmtId="181" fontId="1" fillId="39" borderId="85" xfId="48" applyNumberFormat="1" applyFont="1" applyFill="1" applyBorder="1" applyAlignment="1" applyProtection="1">
      <alignment vertical="center"/>
      <protection/>
    </xf>
    <xf numFmtId="181" fontId="1" fillId="39" borderId="86" xfId="48" applyNumberFormat="1" applyFont="1" applyFill="1" applyBorder="1" applyAlignment="1" applyProtection="1">
      <alignment vertical="center"/>
      <protection/>
    </xf>
    <xf numFmtId="181" fontId="1" fillId="39" borderId="87" xfId="48" applyNumberFormat="1" applyFont="1" applyFill="1" applyBorder="1" applyAlignment="1" applyProtection="1">
      <alignment vertical="center"/>
      <protection/>
    </xf>
    <xf numFmtId="0" fontId="2" fillId="55" borderId="30" xfId="0" applyFont="1" applyFill="1" applyBorder="1" applyAlignment="1" applyProtection="1">
      <alignment vertical="center"/>
      <protection/>
    </xf>
    <xf numFmtId="181" fontId="8" fillId="53" borderId="43" xfId="48" applyNumberFormat="1" applyFont="1" applyFill="1" applyBorder="1" applyAlignment="1" applyProtection="1">
      <alignment vertical="center"/>
      <protection/>
    </xf>
    <xf numFmtId="181" fontId="8" fillId="53" borderId="81" xfId="48" applyNumberFormat="1" applyFont="1" applyFill="1" applyBorder="1" applyAlignment="1" applyProtection="1">
      <alignment vertical="center"/>
      <protection/>
    </xf>
    <xf numFmtId="185" fontId="8" fillId="56" borderId="81" xfId="46" applyNumberFormat="1" applyFont="1" applyFill="1" applyBorder="1" applyAlignment="1" applyProtection="1">
      <alignment vertical="center"/>
      <protection/>
    </xf>
    <xf numFmtId="181" fontId="8" fillId="53" borderId="94" xfId="48" applyNumberFormat="1" applyFont="1" applyFill="1" applyBorder="1" applyAlignment="1" applyProtection="1">
      <alignment vertical="center"/>
      <protection/>
    </xf>
    <xf numFmtId="181" fontId="2" fillId="57" borderId="68" xfId="0" applyNumberFormat="1" applyFont="1" applyFill="1" applyBorder="1" applyAlignment="1" applyProtection="1">
      <alignment vertical="center"/>
      <protection/>
    </xf>
    <xf numFmtId="181" fontId="2" fillId="57" borderId="69" xfId="0" applyNumberFormat="1" applyFont="1" applyFill="1" applyBorder="1" applyAlignment="1" applyProtection="1">
      <alignment vertical="center"/>
      <protection/>
    </xf>
    <xf numFmtId="0" fontId="8" fillId="39" borderId="12" xfId="0" applyFont="1" applyFill="1" applyBorder="1" applyAlignment="1" applyProtection="1">
      <alignment horizontal="center" vertical="center"/>
      <protection/>
    </xf>
    <xf numFmtId="0" fontId="2" fillId="39" borderId="35" xfId="0" applyFont="1" applyFill="1" applyBorder="1" applyAlignment="1" applyProtection="1">
      <alignment horizontal="center" vertical="center"/>
      <protection/>
    </xf>
    <xf numFmtId="0" fontId="8" fillId="58" borderId="12" xfId="0" applyFont="1" applyFill="1" applyBorder="1" applyAlignment="1" applyProtection="1">
      <alignment horizontal="center" vertical="center"/>
      <protection/>
    </xf>
    <xf numFmtId="0" fontId="2" fillId="58" borderId="30" xfId="0" applyFont="1" applyFill="1" applyBorder="1" applyAlignment="1" applyProtection="1">
      <alignment horizontal="center" vertical="center" wrapText="1"/>
      <protection/>
    </xf>
    <xf numFmtId="0" fontId="2" fillId="58" borderId="30" xfId="0" applyFont="1" applyFill="1" applyBorder="1" applyAlignment="1" applyProtection="1">
      <alignment horizontal="center" vertical="center"/>
      <protection/>
    </xf>
    <xf numFmtId="0" fontId="8" fillId="42" borderId="12" xfId="0" applyFont="1" applyFill="1" applyBorder="1" applyAlignment="1" applyProtection="1">
      <alignment horizontal="center" vertical="center"/>
      <protection/>
    </xf>
    <xf numFmtId="0" fontId="2" fillId="42" borderId="30" xfId="0" applyFont="1" applyFill="1" applyBorder="1" applyAlignment="1" applyProtection="1">
      <alignment horizontal="center" vertical="center"/>
      <protection/>
    </xf>
    <xf numFmtId="181" fontId="8" fillId="42" borderId="95" xfId="48" applyNumberFormat="1" applyFont="1" applyFill="1" applyBorder="1" applyAlignment="1" applyProtection="1">
      <alignment vertical="center"/>
      <protection/>
    </xf>
    <xf numFmtId="181" fontId="8" fillId="42" borderId="96" xfId="48" applyNumberFormat="1" applyFont="1" applyFill="1" applyBorder="1" applyAlignment="1" applyProtection="1">
      <alignment vertical="center"/>
      <protection/>
    </xf>
    <xf numFmtId="181" fontId="8" fillId="59" borderId="55" xfId="48" applyNumberFormat="1" applyFont="1" applyFill="1" applyBorder="1" applyAlignment="1" applyProtection="1">
      <alignment vertical="center"/>
      <protection/>
    </xf>
    <xf numFmtId="181" fontId="8" fillId="59" borderId="97" xfId="48" applyNumberFormat="1" applyFont="1" applyFill="1" applyBorder="1" applyAlignment="1" applyProtection="1">
      <alignment vertical="center"/>
      <protection/>
    </xf>
    <xf numFmtId="181" fontId="8" fillId="59" borderId="12" xfId="48" applyNumberFormat="1" applyFont="1" applyFill="1" applyBorder="1" applyAlignment="1" applyProtection="1">
      <alignment vertical="center"/>
      <protection/>
    </xf>
    <xf numFmtId="181" fontId="8" fillId="59" borderId="30" xfId="48" applyNumberFormat="1" applyFont="1" applyFill="1" applyBorder="1" applyAlignment="1" applyProtection="1">
      <alignment vertical="center"/>
      <protection/>
    </xf>
    <xf numFmtId="181" fontId="8" fillId="59" borderId="35" xfId="48" applyNumberFormat="1" applyFont="1" applyFill="1" applyBorder="1" applyAlignment="1" applyProtection="1">
      <alignment vertical="center"/>
      <protection/>
    </xf>
    <xf numFmtId="181" fontId="8" fillId="59" borderId="98" xfId="48" applyNumberFormat="1" applyFont="1" applyFill="1" applyBorder="1" applyAlignment="1" applyProtection="1">
      <alignment vertical="center"/>
      <protection/>
    </xf>
    <xf numFmtId="181" fontId="2" fillId="57" borderId="99" xfId="0" applyNumberFormat="1" applyFont="1" applyFill="1" applyBorder="1" applyAlignment="1" applyProtection="1">
      <alignment vertical="center"/>
      <protection/>
    </xf>
    <xf numFmtId="185" fontId="2" fillId="60" borderId="68" xfId="46" applyNumberFormat="1" applyFont="1" applyFill="1" applyBorder="1" applyAlignment="1" applyProtection="1">
      <alignment vertical="center"/>
      <protection/>
    </xf>
    <xf numFmtId="181" fontId="8" fillId="61" borderId="12" xfId="48" applyNumberFormat="1" applyFont="1" applyFill="1" applyBorder="1" applyAlignment="1" applyProtection="1">
      <alignment vertical="center"/>
      <protection/>
    </xf>
    <xf numFmtId="181" fontId="8" fillId="61" borderId="30" xfId="48" applyNumberFormat="1" applyFont="1" applyFill="1" applyBorder="1" applyAlignment="1" applyProtection="1">
      <alignment vertical="center"/>
      <protection/>
    </xf>
    <xf numFmtId="181" fontId="8" fillId="61" borderId="35" xfId="48" applyNumberFormat="1" applyFont="1" applyFill="1" applyBorder="1" applyAlignment="1" applyProtection="1">
      <alignment vertical="center"/>
      <protection/>
    </xf>
    <xf numFmtId="204" fontId="12" fillId="0" borderId="13" xfId="0" applyNumberFormat="1" applyFont="1" applyBorder="1" applyAlignment="1" applyProtection="1">
      <alignment horizontal="center" vertical="center"/>
      <protection/>
    </xf>
    <xf numFmtId="1" fontId="12" fillId="0" borderId="13" xfId="0" applyNumberFormat="1" applyFont="1" applyBorder="1" applyAlignment="1" applyProtection="1">
      <alignment horizontal="center" vertical="center"/>
      <protection/>
    </xf>
    <xf numFmtId="187" fontId="9" fillId="0" borderId="12" xfId="46" applyNumberFormat="1" applyFont="1" applyFill="1" applyBorder="1" applyAlignment="1" applyProtection="1">
      <alignment horizontal="center" vertical="center"/>
      <protection locked="0"/>
    </xf>
    <xf numFmtId="187" fontId="9" fillId="0" borderId="30" xfId="46" applyNumberFormat="1" applyFont="1" applyFill="1" applyBorder="1" applyAlignment="1" applyProtection="1">
      <alignment horizontal="center" vertical="center"/>
      <protection locked="0"/>
    </xf>
    <xf numFmtId="187" fontId="9" fillId="0" borderId="12" xfId="46" applyNumberFormat="1" applyFont="1" applyFill="1" applyBorder="1" applyAlignment="1" applyProtection="1">
      <alignment horizontal="center" vertical="center"/>
      <protection/>
    </xf>
    <xf numFmtId="187" fontId="8" fillId="0" borderId="12" xfId="46" applyNumberFormat="1" applyFont="1" applyFill="1" applyBorder="1" applyAlignment="1" applyProtection="1">
      <alignment horizontal="center" vertical="center"/>
      <protection/>
    </xf>
    <xf numFmtId="187" fontId="9" fillId="0" borderId="30" xfId="46" applyNumberFormat="1" applyFont="1" applyFill="1" applyBorder="1" applyAlignment="1" applyProtection="1">
      <alignment horizontal="center" vertical="center"/>
      <protection/>
    </xf>
    <xf numFmtId="187" fontId="9" fillId="0" borderId="35" xfId="46" applyNumberFormat="1" applyFont="1" applyFill="1" applyBorder="1" applyAlignment="1" applyProtection="1">
      <alignment horizontal="center" vertical="center"/>
      <protection/>
    </xf>
    <xf numFmtId="0" fontId="2" fillId="62" borderId="13" xfId="0" applyFont="1" applyFill="1" applyBorder="1" applyAlignment="1" applyProtection="1">
      <alignment vertical="center"/>
      <protection/>
    </xf>
    <xf numFmtId="3" fontId="58" fillId="0" borderId="13" xfId="0" applyNumberFormat="1" applyFont="1" applyBorder="1" applyAlignment="1">
      <alignment/>
    </xf>
    <xf numFmtId="6" fontId="1" fillId="0" borderId="0" xfId="0" applyNumberFormat="1" applyFont="1" applyAlignment="1" applyProtection="1">
      <alignment vertical="center"/>
      <protection/>
    </xf>
    <xf numFmtId="181" fontId="59" fillId="42" borderId="95" xfId="48" applyNumberFormat="1" applyFont="1" applyFill="1" applyBorder="1" applyAlignment="1" applyProtection="1">
      <alignment vertical="center"/>
      <protection/>
    </xf>
    <xf numFmtId="212" fontId="8" fillId="61" borderId="12" xfId="48" applyNumberFormat="1" applyFont="1" applyFill="1" applyBorder="1" applyAlignment="1" applyProtection="1">
      <alignment vertical="center"/>
      <protection/>
    </xf>
    <xf numFmtId="214" fontId="11" fillId="0" borderId="13" xfId="48" applyNumberFormat="1" applyFont="1" applyBorder="1" applyAlignment="1" applyProtection="1">
      <alignment horizontal="center" vertical="center"/>
      <protection/>
    </xf>
    <xf numFmtId="214" fontId="11" fillId="0" borderId="22" xfId="48" applyNumberFormat="1" applyFont="1" applyBorder="1" applyAlignment="1" applyProtection="1">
      <alignment horizontal="center" vertical="center"/>
      <protection/>
    </xf>
    <xf numFmtId="214" fontId="11" fillId="0" borderId="23" xfId="48" applyNumberFormat="1" applyFont="1" applyBorder="1" applyAlignment="1" applyProtection="1">
      <alignment horizontal="center" vertical="center"/>
      <protection/>
    </xf>
    <xf numFmtId="214" fontId="11" fillId="0" borderId="24" xfId="48" applyNumberFormat="1" applyFont="1" applyBorder="1" applyAlignment="1" applyProtection="1">
      <alignment horizontal="center" vertical="center"/>
      <protection/>
    </xf>
    <xf numFmtId="212" fontId="8" fillId="42" borderId="95" xfId="48" applyNumberFormat="1" applyFont="1" applyFill="1" applyBorder="1" applyAlignment="1" applyProtection="1">
      <alignment vertical="center"/>
      <protection/>
    </xf>
    <xf numFmtId="181" fontId="59" fillId="42" borderId="100" xfId="48" applyNumberFormat="1" applyFont="1" applyFill="1" applyBorder="1" applyAlignment="1" applyProtection="1">
      <alignment vertical="center"/>
      <protection/>
    </xf>
    <xf numFmtId="181" fontId="59" fillId="59" borderId="55" xfId="48" applyNumberFormat="1" applyFont="1" applyFill="1" applyBorder="1" applyAlignment="1" applyProtection="1">
      <alignment vertical="center"/>
      <protection/>
    </xf>
    <xf numFmtId="181" fontId="59" fillId="61" borderId="12" xfId="48" applyNumberFormat="1" applyFont="1" applyFill="1" applyBorder="1" applyAlignment="1" applyProtection="1">
      <alignment vertical="center"/>
      <protection/>
    </xf>
    <xf numFmtId="187" fontId="57" fillId="0" borderId="12" xfId="46" applyNumberFormat="1" applyFont="1" applyFill="1" applyBorder="1" applyAlignment="1" applyProtection="1">
      <alignment horizontal="center" vertical="center"/>
      <protection/>
    </xf>
    <xf numFmtId="181" fontId="59" fillId="59" borderId="12" xfId="48" applyNumberFormat="1" applyFont="1" applyFill="1" applyBorder="1" applyAlignment="1" applyProtection="1">
      <alignment vertical="center"/>
      <protection/>
    </xf>
    <xf numFmtId="0" fontId="57" fillId="0" borderId="0" xfId="0" applyFont="1" applyFill="1" applyAlignment="1" applyProtection="1">
      <alignment horizontal="left" vertical="center"/>
      <protection/>
    </xf>
    <xf numFmtId="0" fontId="57" fillId="0" borderId="0" xfId="0" applyFont="1" applyAlignment="1" applyProtection="1">
      <alignment vertical="center"/>
      <protection/>
    </xf>
    <xf numFmtId="187" fontId="57" fillId="0" borderId="12" xfId="46" applyNumberFormat="1" applyFont="1" applyFill="1" applyBorder="1" applyAlignment="1" applyProtection="1">
      <alignment horizontal="center" vertical="center"/>
      <protection locked="0"/>
    </xf>
    <xf numFmtId="0" fontId="0" fillId="34" borderId="0" xfId="0" applyFill="1" applyBorder="1" applyAlignment="1">
      <alignment/>
    </xf>
    <xf numFmtId="0" fontId="0" fillId="34" borderId="13" xfId="0" applyFill="1" applyBorder="1" applyAlignment="1">
      <alignment/>
    </xf>
    <xf numFmtId="3" fontId="0" fillId="34" borderId="0" xfId="0" applyNumberFormat="1" applyFill="1" applyBorder="1" applyAlignment="1">
      <alignment/>
    </xf>
    <xf numFmtId="0" fontId="0" fillId="34" borderId="0" xfId="0" applyFill="1" applyAlignment="1">
      <alignment/>
    </xf>
    <xf numFmtId="0" fontId="0" fillId="36" borderId="0" xfId="0" applyFill="1" applyBorder="1" applyAlignment="1">
      <alignment/>
    </xf>
    <xf numFmtId="0" fontId="0" fillId="36" borderId="13" xfId="0" applyFill="1" applyBorder="1" applyAlignment="1">
      <alignment/>
    </xf>
    <xf numFmtId="3" fontId="0" fillId="36" borderId="0" xfId="0" applyNumberFormat="1" applyFill="1" applyBorder="1" applyAlignment="1">
      <alignment/>
    </xf>
    <xf numFmtId="0" fontId="0" fillId="36" borderId="0" xfId="0" applyFill="1" applyAlignment="1">
      <alignment/>
    </xf>
    <xf numFmtId="181" fontId="57" fillId="47" borderId="12" xfId="48" applyNumberFormat="1" applyFont="1" applyFill="1" applyBorder="1" applyAlignment="1" applyProtection="1">
      <alignment vertical="center"/>
      <protection/>
    </xf>
    <xf numFmtId="181" fontId="57" fillId="48" borderId="12" xfId="48" applyNumberFormat="1" applyFont="1" applyFill="1" applyBorder="1" applyAlignment="1" applyProtection="1">
      <alignment vertical="center"/>
      <protection/>
    </xf>
    <xf numFmtId="181" fontId="59" fillId="43" borderId="12" xfId="48" applyNumberFormat="1" applyFont="1" applyFill="1" applyBorder="1" applyAlignment="1" applyProtection="1">
      <alignment vertical="center"/>
      <protection/>
    </xf>
    <xf numFmtId="3" fontId="0" fillId="34" borderId="0" xfId="0" applyNumberFormat="1" applyFill="1" applyAlignment="1">
      <alignment/>
    </xf>
    <xf numFmtId="0" fontId="1" fillId="34" borderId="0" xfId="0" applyFont="1" applyFill="1" applyAlignment="1" applyProtection="1">
      <alignment vertical="center"/>
      <protection/>
    </xf>
    <xf numFmtId="0" fontId="0" fillId="63" borderId="0" xfId="0" applyFill="1" applyBorder="1" applyAlignment="1">
      <alignment/>
    </xf>
    <xf numFmtId="0" fontId="0" fillId="63" borderId="13" xfId="0" applyFill="1" applyBorder="1" applyAlignment="1">
      <alignment/>
    </xf>
    <xf numFmtId="3" fontId="0" fillId="63" borderId="13" xfId="0" applyNumberFormat="1" applyFill="1" applyBorder="1" applyAlignment="1">
      <alignment/>
    </xf>
    <xf numFmtId="3" fontId="0" fillId="63" borderId="0" xfId="0" applyNumberFormat="1" applyFill="1" applyBorder="1" applyAlignment="1">
      <alignment/>
    </xf>
    <xf numFmtId="0" fontId="0" fillId="63" borderId="0" xfId="0" applyFill="1" applyAlignment="1">
      <alignment/>
    </xf>
    <xf numFmtId="3" fontId="0" fillId="63" borderId="0" xfId="0" applyNumberFormat="1" applyFill="1" applyAlignment="1">
      <alignment/>
    </xf>
    <xf numFmtId="0" fontId="2" fillId="63" borderId="13" xfId="0" applyFont="1" applyFill="1" applyBorder="1" applyAlignment="1" applyProtection="1">
      <alignment vertical="center"/>
      <protection/>
    </xf>
    <xf numFmtId="0" fontId="1" fillId="63" borderId="0" xfId="0" applyFont="1" applyFill="1" applyAlignment="1" applyProtection="1">
      <alignment vertical="center"/>
      <protection/>
    </xf>
    <xf numFmtId="6" fontId="11" fillId="63" borderId="0" xfId="0" applyNumberFormat="1" applyFont="1" applyFill="1" applyAlignment="1">
      <alignment/>
    </xf>
    <xf numFmtId="181" fontId="59" fillId="61" borderId="30" xfId="48" applyNumberFormat="1" applyFont="1" applyFill="1" applyBorder="1" applyAlignment="1" applyProtection="1">
      <alignment vertical="center"/>
      <protection/>
    </xf>
    <xf numFmtId="187" fontId="57" fillId="0" borderId="30" xfId="46" applyNumberFormat="1" applyFont="1" applyFill="1" applyBorder="1" applyAlignment="1" applyProtection="1">
      <alignment horizontal="center" vertical="center"/>
      <protection/>
    </xf>
    <xf numFmtId="181" fontId="59" fillId="42" borderId="96" xfId="48" applyNumberFormat="1" applyFont="1" applyFill="1" applyBorder="1" applyAlignment="1" applyProtection="1">
      <alignment vertical="center"/>
      <protection/>
    </xf>
    <xf numFmtId="180" fontId="2" fillId="0" borderId="0" xfId="48" applyFont="1" applyFill="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9" fontId="11" fillId="0" borderId="13" xfId="52" applyFont="1" applyBorder="1" applyAlignment="1" applyProtection="1">
      <alignment horizontal="center" vertical="center"/>
      <protection/>
    </xf>
    <xf numFmtId="189" fontId="2" fillId="0" borderId="0" xfId="0" applyNumberFormat="1" applyFont="1" applyAlignment="1" applyProtection="1">
      <alignment horizontal="center" vertical="center"/>
      <protection/>
    </xf>
    <xf numFmtId="10" fontId="59" fillId="0" borderId="0" xfId="0" applyNumberFormat="1" applyFont="1" applyAlignment="1" applyProtection="1">
      <alignment vertical="center"/>
      <protection/>
    </xf>
    <xf numFmtId="189" fontId="0" fillId="0" borderId="0" xfId="48" applyNumberFormat="1" applyAlignment="1">
      <alignment/>
    </xf>
    <xf numFmtId="189" fontId="0" fillId="0" borderId="13" xfId="48" applyNumberFormat="1" applyBorder="1" applyAlignment="1">
      <alignment/>
    </xf>
    <xf numFmtId="189" fontId="0" fillId="0" borderId="13" xfId="0" applyNumberFormat="1" applyBorder="1" applyAlignment="1">
      <alignment/>
    </xf>
    <xf numFmtId="0" fontId="11" fillId="64" borderId="13" xfId="0" applyFont="1" applyFill="1" applyBorder="1" applyAlignment="1">
      <alignment horizontal="center"/>
    </xf>
    <xf numFmtId="0" fontId="11" fillId="64" borderId="13" xfId="0" applyFont="1" applyFill="1" applyBorder="1" applyAlignment="1">
      <alignment vertical="center"/>
    </xf>
    <xf numFmtId="0" fontId="11" fillId="64" borderId="13" xfId="0" applyFont="1" applyFill="1" applyBorder="1" applyAlignment="1">
      <alignment horizontal="center" vertical="center" wrapText="1"/>
    </xf>
    <xf numFmtId="0" fontId="0" fillId="0" borderId="0" xfId="0" applyAlignment="1">
      <alignment vertical="center"/>
    </xf>
    <xf numFmtId="0" fontId="0" fillId="0" borderId="13" xfId="0" applyFill="1" applyBorder="1" applyAlignment="1">
      <alignment/>
    </xf>
    <xf numFmtId="0" fontId="11" fillId="34" borderId="13" xfId="0" applyFont="1" applyFill="1" applyBorder="1" applyAlignment="1">
      <alignment vertical="center"/>
    </xf>
    <xf numFmtId="189" fontId="0" fillId="34" borderId="13" xfId="48" applyNumberFormat="1" applyFill="1" applyBorder="1" applyAlignment="1">
      <alignment/>
    </xf>
    <xf numFmtId="0" fontId="11" fillId="34" borderId="13" xfId="0" applyFont="1" applyFill="1" applyBorder="1" applyAlignment="1">
      <alignment horizontal="center" vertical="center" wrapText="1"/>
    </xf>
    <xf numFmtId="189" fontId="0" fillId="34" borderId="13" xfId="0" applyNumberFormat="1" applyFill="1" applyBorder="1" applyAlignment="1">
      <alignment/>
    </xf>
    <xf numFmtId="189" fontId="11" fillId="34" borderId="13" xfId="48" applyNumberFormat="1" applyFont="1" applyFill="1" applyBorder="1" applyAlignment="1">
      <alignment/>
    </xf>
    <xf numFmtId="189" fontId="0" fillId="36" borderId="13" xfId="48" applyNumberFormat="1" applyFill="1" applyBorder="1" applyAlignment="1">
      <alignment/>
    </xf>
    <xf numFmtId="189" fontId="11" fillId="34" borderId="13" xfId="0" applyNumberFormat="1" applyFont="1" applyFill="1" applyBorder="1" applyAlignment="1">
      <alignment/>
    </xf>
    <xf numFmtId="0" fontId="14" fillId="0" borderId="0" xfId="0" applyFont="1" applyAlignment="1">
      <alignment horizontal="center"/>
    </xf>
    <xf numFmtId="0" fontId="0" fillId="0" borderId="0" xfId="0" applyAlignment="1">
      <alignment horizontal="center"/>
    </xf>
    <xf numFmtId="189" fontId="11" fillId="0" borderId="0" xfId="48" applyNumberFormat="1" applyFont="1" applyAlignment="1">
      <alignment horizontal="center"/>
    </xf>
    <xf numFmtId="0" fontId="11" fillId="64" borderId="13" xfId="0" applyFont="1" applyFill="1" applyBorder="1" applyAlignment="1">
      <alignment horizontal="center" vertical="center"/>
    </xf>
    <xf numFmtId="189" fontId="0" fillId="0" borderId="0" xfId="0" applyNumberFormat="1" applyFill="1" applyBorder="1" applyAlignment="1">
      <alignment/>
    </xf>
    <xf numFmtId="0" fontId="0" fillId="0" borderId="0" xfId="0" applyFill="1" applyAlignment="1">
      <alignment/>
    </xf>
    <xf numFmtId="0" fontId="11" fillId="0" borderId="0" xfId="0" applyFont="1" applyFill="1" applyBorder="1" applyAlignment="1">
      <alignment/>
    </xf>
    <xf numFmtId="189" fontId="11" fillId="0" borderId="0" xfId="0" applyNumberFormat="1" applyFont="1" applyFill="1" applyBorder="1" applyAlignment="1">
      <alignment/>
    </xf>
    <xf numFmtId="0" fontId="0" fillId="0" borderId="0" xfId="0" applyAlignment="1">
      <alignment wrapText="1"/>
    </xf>
    <xf numFmtId="0" fontId="2" fillId="0" borderId="12" xfId="0" applyFont="1" applyFill="1" applyBorder="1" applyAlignment="1" applyProtection="1">
      <alignment vertical="center" wrapText="1"/>
      <protection locked="0"/>
    </xf>
    <xf numFmtId="0" fontId="2" fillId="39" borderId="12" xfId="0" applyFont="1" applyFill="1" applyBorder="1" applyAlignment="1" applyProtection="1">
      <alignment vertical="center" wrapText="1"/>
      <protection/>
    </xf>
    <xf numFmtId="0" fontId="2" fillId="0" borderId="0" xfId="0" applyFont="1" applyBorder="1" applyAlignment="1" applyProtection="1">
      <alignment horizontal="center" vertical="center"/>
      <protection/>
    </xf>
    <xf numFmtId="0" fontId="2" fillId="0" borderId="10" xfId="0" applyFont="1" applyBorder="1" applyAlignment="1" applyProtection="1">
      <alignment horizontal="right" vertical="center"/>
      <protection/>
    </xf>
    <xf numFmtId="0" fontId="2" fillId="43" borderId="12" xfId="0" applyFont="1" applyFill="1" applyBorder="1" applyAlignment="1" applyProtection="1">
      <alignment vertical="center" wrapText="1"/>
      <protection/>
    </xf>
    <xf numFmtId="0" fontId="2" fillId="62" borderId="18" xfId="0" applyFont="1" applyFill="1" applyBorder="1" applyAlignment="1" applyProtection="1">
      <alignment horizontal="center" vertical="center"/>
      <protection/>
    </xf>
    <xf numFmtId="0" fontId="2" fillId="62" borderId="101" xfId="0" applyFont="1" applyFill="1" applyBorder="1" applyAlignment="1" applyProtection="1">
      <alignment horizontal="center" vertical="center"/>
      <protection/>
    </xf>
    <xf numFmtId="0" fontId="2" fillId="62" borderId="19" xfId="0" applyFont="1" applyFill="1" applyBorder="1" applyAlignment="1" applyProtection="1">
      <alignment horizontal="center" vertical="center"/>
      <protection/>
    </xf>
    <xf numFmtId="0" fontId="2" fillId="40" borderId="18" xfId="0" applyFont="1" applyFill="1" applyBorder="1" applyAlignment="1" applyProtection="1">
      <alignment horizontal="center" vertical="center" wrapText="1"/>
      <protection/>
    </xf>
    <xf numFmtId="0" fontId="2" fillId="40" borderId="101" xfId="0" applyFont="1" applyFill="1" applyBorder="1" applyAlignment="1" applyProtection="1">
      <alignment horizontal="center" vertical="center" wrapText="1"/>
      <protection/>
    </xf>
    <xf numFmtId="0" fontId="2" fillId="40" borderId="19" xfId="0" applyFont="1" applyFill="1" applyBorder="1" applyAlignment="1" applyProtection="1">
      <alignment horizontal="center" vertical="center" wrapText="1"/>
      <protection/>
    </xf>
    <xf numFmtId="0" fontId="12" fillId="43" borderId="15" xfId="0" applyFont="1" applyFill="1" applyBorder="1" applyAlignment="1" applyProtection="1">
      <alignment horizontal="center" vertical="center"/>
      <protection/>
    </xf>
    <xf numFmtId="0" fontId="12" fillId="43" borderId="16" xfId="0" applyFont="1" applyFill="1" applyBorder="1" applyAlignment="1" applyProtection="1">
      <alignment horizontal="center" vertical="center"/>
      <protection/>
    </xf>
    <xf numFmtId="0" fontId="1" fillId="44" borderId="102" xfId="0" applyFont="1" applyFill="1" applyBorder="1" applyAlignment="1" applyProtection="1">
      <alignment horizontal="center" vertical="center" wrapText="1"/>
      <protection/>
    </xf>
    <xf numFmtId="0" fontId="1" fillId="44" borderId="98" xfId="0" applyFont="1" applyFill="1" applyBorder="1" applyAlignment="1" applyProtection="1">
      <alignment horizontal="center" vertical="center" wrapText="1"/>
      <protection/>
    </xf>
    <xf numFmtId="0" fontId="1" fillId="44" borderId="62" xfId="0" applyFont="1" applyFill="1" applyBorder="1" applyAlignment="1" applyProtection="1">
      <alignment horizontal="center" vertical="center" wrapText="1"/>
      <protection/>
    </xf>
    <xf numFmtId="0" fontId="1" fillId="44" borderId="43" xfId="0" applyFont="1" applyFill="1" applyBorder="1" applyAlignment="1" applyProtection="1">
      <alignment vertical="center" wrapText="1"/>
      <protection/>
    </xf>
    <xf numFmtId="0" fontId="2" fillId="43" borderId="103" xfId="0" applyFont="1" applyFill="1" applyBorder="1" applyAlignment="1" applyProtection="1">
      <alignment vertical="center"/>
      <protection/>
    </xf>
    <xf numFmtId="0" fontId="2" fillId="43" borderId="68" xfId="0" applyFont="1" applyFill="1" applyBorder="1" applyAlignment="1" applyProtection="1">
      <alignment vertical="center" wrapText="1"/>
      <protection/>
    </xf>
    <xf numFmtId="0" fontId="2" fillId="41" borderId="104" xfId="0" applyFont="1" applyFill="1" applyBorder="1" applyAlignment="1" applyProtection="1">
      <alignment horizontal="center" vertical="center" wrapText="1"/>
      <protection/>
    </xf>
    <xf numFmtId="0" fontId="2" fillId="41" borderId="105" xfId="0" applyFont="1" applyFill="1" applyBorder="1" applyAlignment="1" applyProtection="1">
      <alignment horizontal="center" vertical="center" wrapText="1"/>
      <protection/>
    </xf>
    <xf numFmtId="0" fontId="2" fillId="41" borderId="106" xfId="0" applyFont="1" applyFill="1" applyBorder="1" applyAlignment="1" applyProtection="1">
      <alignment horizontal="center" vertical="center" wrapText="1"/>
      <protection/>
    </xf>
    <xf numFmtId="0" fontId="2" fillId="50" borderId="107" xfId="0" applyFont="1" applyFill="1" applyBorder="1" applyAlignment="1" applyProtection="1">
      <alignment horizontal="center" vertical="center" wrapText="1"/>
      <protection/>
    </xf>
    <xf numFmtId="0" fontId="0" fillId="48" borderId="12" xfId="0" applyFont="1" applyFill="1" applyBorder="1" applyAlignment="1" applyProtection="1">
      <alignment vertical="center"/>
      <protection/>
    </xf>
    <xf numFmtId="0" fontId="4" fillId="62" borderId="12" xfId="0" applyFont="1" applyFill="1" applyBorder="1" applyAlignment="1" applyProtection="1">
      <alignment horizontal="center" vertical="center"/>
      <protection/>
    </xf>
    <xf numFmtId="0" fontId="2" fillId="43" borderId="12" xfId="0" applyFont="1" applyFill="1" applyBorder="1" applyAlignment="1" applyProtection="1">
      <alignment vertical="center"/>
      <protection/>
    </xf>
    <xf numFmtId="0" fontId="0" fillId="47" borderId="12" xfId="0" applyFont="1" applyFill="1" applyBorder="1" applyAlignment="1" applyProtection="1">
      <alignment vertical="center"/>
      <protection/>
    </xf>
    <xf numFmtId="0" fontId="2" fillId="43" borderId="42" xfId="0" applyFont="1" applyFill="1" applyBorder="1" applyAlignment="1" applyProtection="1">
      <alignment vertical="center" wrapText="1"/>
      <protection/>
    </xf>
    <xf numFmtId="0" fontId="2" fillId="40" borderId="104" xfId="0" applyFont="1" applyFill="1" applyBorder="1" applyAlignment="1" applyProtection="1">
      <alignment horizontal="center" vertical="center" wrapText="1"/>
      <protection/>
    </xf>
    <xf numFmtId="0" fontId="2" fillId="40" borderId="105" xfId="0" applyFont="1" applyFill="1" applyBorder="1" applyAlignment="1" applyProtection="1">
      <alignment horizontal="center" vertical="center" wrapText="1"/>
      <protection/>
    </xf>
    <xf numFmtId="0" fontId="2" fillId="40" borderId="108" xfId="0" applyFont="1" applyFill="1" applyBorder="1" applyAlignment="1" applyProtection="1">
      <alignment horizontal="center" vertical="center" wrapText="1"/>
      <protection/>
    </xf>
    <xf numFmtId="186" fontId="9" fillId="47" borderId="109" xfId="0" applyNumberFormat="1" applyFont="1" applyFill="1" applyBorder="1" applyAlignment="1">
      <alignment horizontal="left"/>
    </xf>
    <xf numFmtId="186" fontId="9" fillId="48" borderId="109" xfId="0" applyNumberFormat="1" applyFont="1" applyFill="1" applyBorder="1" applyAlignment="1">
      <alignment horizontal="left"/>
    </xf>
    <xf numFmtId="0" fontId="2" fillId="62" borderId="15" xfId="0" applyFont="1" applyFill="1" applyBorder="1" applyAlignment="1" applyProtection="1">
      <alignment horizontal="center" vertical="center"/>
      <protection/>
    </xf>
    <xf numFmtId="0" fontId="2" fillId="62" borderId="16" xfId="0" applyFont="1" applyFill="1" applyBorder="1" applyAlignment="1" applyProtection="1">
      <alignment horizontal="center" vertical="center"/>
      <protection/>
    </xf>
    <xf numFmtId="181" fontId="8" fillId="65" borderId="109" xfId="48" applyNumberFormat="1" applyFont="1" applyFill="1" applyBorder="1" applyAlignment="1" applyProtection="1">
      <alignment horizontal="center" vertical="center"/>
      <protection/>
    </xf>
    <xf numFmtId="0" fontId="8" fillId="65" borderId="109" xfId="0" applyFont="1" applyFill="1" applyBorder="1" applyAlignment="1" applyProtection="1">
      <alignment horizontal="left" vertical="center"/>
      <protection/>
    </xf>
    <xf numFmtId="0" fontId="59" fillId="62" borderId="15" xfId="0" applyFont="1" applyFill="1" applyBorder="1" applyAlignment="1" applyProtection="1">
      <alignment horizontal="center" vertical="center"/>
      <protection/>
    </xf>
    <xf numFmtId="0" fontId="59" fillId="62" borderId="17" xfId="0" applyFont="1" applyFill="1" applyBorder="1" applyAlignment="1" applyProtection="1">
      <alignment horizontal="center" vertical="center"/>
      <protection/>
    </xf>
    <xf numFmtId="0" fontId="59" fillId="62" borderId="16" xfId="0" applyFont="1" applyFill="1" applyBorder="1" applyAlignment="1" applyProtection="1">
      <alignment horizontal="center" vertical="center"/>
      <protection/>
    </xf>
    <xf numFmtId="0" fontId="3" fillId="44" borderId="12" xfId="0" applyFont="1" applyFill="1" applyBorder="1" applyAlignment="1" applyProtection="1">
      <alignment horizontal="center" vertical="center"/>
      <protection/>
    </xf>
    <xf numFmtId="0" fontId="8" fillId="33" borderId="0" xfId="0" applyFont="1" applyFill="1" applyBorder="1" applyAlignment="1" applyProtection="1">
      <alignment vertical="center"/>
      <protection/>
    </xf>
    <xf numFmtId="0" fontId="8" fillId="58" borderId="12" xfId="0" applyFont="1" applyFill="1" applyBorder="1" applyAlignment="1" applyProtection="1">
      <alignment horizontal="center" vertical="center"/>
      <protection/>
    </xf>
    <xf numFmtId="0" fontId="2" fillId="43" borderId="30" xfId="0" applyFont="1" applyFill="1" applyBorder="1" applyAlignment="1" applyProtection="1">
      <alignment vertical="center"/>
      <protection/>
    </xf>
    <xf numFmtId="0" fontId="8" fillId="53" borderId="107" xfId="0" applyFont="1" applyFill="1" applyBorder="1" applyAlignment="1" applyProtection="1">
      <alignment vertical="center"/>
      <protection/>
    </xf>
    <xf numFmtId="0" fontId="8" fillId="65" borderId="110" xfId="0" applyFont="1" applyFill="1" applyBorder="1" applyAlignment="1" applyProtection="1">
      <alignment horizontal="left" vertical="center"/>
      <protection/>
    </xf>
    <xf numFmtId="181" fontId="8" fillId="65" borderId="110" xfId="48" applyNumberFormat="1" applyFont="1" applyFill="1" applyBorder="1" applyAlignment="1" applyProtection="1">
      <alignment horizontal="center" vertical="center"/>
      <protection/>
    </xf>
    <xf numFmtId="186" fontId="2" fillId="65" borderId="110" xfId="0" applyNumberFormat="1" applyFont="1" applyFill="1" applyBorder="1" applyAlignment="1">
      <alignment horizontal="left"/>
    </xf>
    <xf numFmtId="186" fontId="2" fillId="65" borderId="109" xfId="0" applyNumberFormat="1" applyFont="1" applyFill="1" applyBorder="1" applyAlignment="1">
      <alignment horizontal="left"/>
    </xf>
    <xf numFmtId="0" fontId="1" fillId="65" borderId="109" xfId="0" applyFont="1" applyFill="1" applyBorder="1" applyAlignment="1" applyProtection="1">
      <alignment horizontal="center" vertical="center"/>
      <protection/>
    </xf>
    <xf numFmtId="0" fontId="8" fillId="66" borderId="111" xfId="0" applyFont="1" applyFill="1" applyBorder="1" applyAlignment="1">
      <alignment vertical="center"/>
    </xf>
    <xf numFmtId="0" fontId="0" fillId="62" borderId="112" xfId="0" applyFill="1" applyBorder="1" applyAlignment="1" applyProtection="1">
      <alignment horizontal="center" vertical="center" wrapText="1"/>
      <protection locked="0"/>
    </xf>
    <xf numFmtId="0" fontId="0" fillId="62" borderId="113" xfId="0" applyFill="1" applyBorder="1" applyAlignment="1" applyProtection="1">
      <alignment horizontal="center" vertical="center" wrapText="1"/>
      <protection locked="0"/>
    </xf>
    <xf numFmtId="0" fontId="0" fillId="62" borderId="114" xfId="0" applyFill="1" applyBorder="1" applyAlignment="1" applyProtection="1">
      <alignment horizontal="center" vertical="center" wrapText="1"/>
      <protection locked="0"/>
    </xf>
    <xf numFmtId="0" fontId="0" fillId="62" borderId="115" xfId="0" applyFill="1" applyBorder="1" applyAlignment="1" applyProtection="1">
      <alignment horizontal="center" vertical="center" wrapText="1"/>
      <protection locked="0"/>
    </xf>
    <xf numFmtId="0" fontId="0" fillId="62" borderId="0" xfId="0" applyFill="1" applyBorder="1" applyAlignment="1" applyProtection="1">
      <alignment horizontal="center" vertical="center" wrapText="1"/>
      <protection locked="0"/>
    </xf>
    <xf numFmtId="0" fontId="0" fillId="62" borderId="116" xfId="0" applyFill="1" applyBorder="1" applyAlignment="1" applyProtection="1">
      <alignment horizontal="center" vertical="center" wrapText="1"/>
      <protection locked="0"/>
    </xf>
    <xf numFmtId="0" fontId="0" fillId="62" borderId="117" xfId="0" applyFill="1" applyBorder="1" applyAlignment="1" applyProtection="1">
      <alignment horizontal="center" vertical="center" wrapText="1"/>
      <protection locked="0"/>
    </xf>
    <xf numFmtId="0" fontId="0" fillId="62" borderId="118" xfId="0" applyFill="1" applyBorder="1" applyAlignment="1" applyProtection="1">
      <alignment horizontal="center" vertical="center" wrapText="1"/>
      <protection locked="0"/>
    </xf>
    <xf numFmtId="0" fontId="0" fillId="62" borderId="119" xfId="0" applyFill="1" applyBorder="1" applyAlignment="1" applyProtection="1">
      <alignment horizontal="center" vertical="center" wrapText="1"/>
      <protection locked="0"/>
    </xf>
    <xf numFmtId="0" fontId="2" fillId="65" borderId="28" xfId="0" applyFont="1" applyFill="1" applyBorder="1" applyAlignment="1" applyProtection="1">
      <alignment horizontal="left" vertical="center"/>
      <protection/>
    </xf>
    <xf numFmtId="186" fontId="2" fillId="65" borderId="12" xfId="0" applyNumberFormat="1" applyFont="1" applyFill="1" applyBorder="1" applyAlignment="1">
      <alignment horizontal="left"/>
    </xf>
    <xf numFmtId="0" fontId="2" fillId="39" borderId="83" xfId="0" applyFont="1" applyFill="1" applyBorder="1" applyAlignment="1" applyProtection="1">
      <alignment vertical="center" wrapText="1"/>
      <protection/>
    </xf>
    <xf numFmtId="0" fontId="2" fillId="39" borderId="89" xfId="0" applyFont="1" applyFill="1" applyBorder="1" applyAlignment="1" applyProtection="1">
      <alignment vertical="center" wrapText="1"/>
      <protection/>
    </xf>
    <xf numFmtId="0" fontId="2" fillId="44" borderId="12" xfId="0" applyFont="1" applyFill="1" applyBorder="1" applyAlignment="1" applyProtection="1">
      <alignment horizontal="center" vertical="center"/>
      <protection/>
    </xf>
    <xf numFmtId="0" fontId="2" fillId="43" borderId="120" xfId="0" applyFont="1" applyFill="1" applyBorder="1" applyAlignment="1" applyProtection="1">
      <alignment vertical="center" wrapText="1"/>
      <protection/>
    </xf>
    <xf numFmtId="0" fontId="2" fillId="43" borderId="83" xfId="0" applyFont="1" applyFill="1" applyBorder="1" applyAlignment="1" applyProtection="1">
      <alignment vertical="center" wrapText="1"/>
      <protection/>
    </xf>
    <xf numFmtId="0" fontId="2" fillId="43" borderId="121" xfId="0" applyFont="1" applyFill="1" applyBorder="1" applyAlignment="1" applyProtection="1">
      <alignment vertical="center" wrapText="1"/>
      <protection/>
    </xf>
    <xf numFmtId="0" fontId="2" fillId="43" borderId="82" xfId="0" applyFont="1" applyFill="1" applyBorder="1" applyAlignment="1" applyProtection="1">
      <alignment vertical="center" wrapText="1"/>
      <protection/>
    </xf>
    <xf numFmtId="0" fontId="2" fillId="40" borderId="106" xfId="0" applyFont="1" applyFill="1" applyBorder="1" applyAlignment="1" applyProtection="1">
      <alignment horizontal="center" vertical="center" wrapText="1"/>
      <protection/>
    </xf>
    <xf numFmtId="0" fontId="2" fillId="41" borderId="108" xfId="0" applyFont="1" applyFill="1" applyBorder="1" applyAlignment="1" applyProtection="1">
      <alignment horizontal="center" vertical="center" wrapText="1"/>
      <protection/>
    </xf>
    <xf numFmtId="3" fontId="0" fillId="0" borderId="15" xfId="0" applyNumberFormat="1" applyFill="1" applyBorder="1" applyAlignment="1">
      <alignment horizontal="center"/>
    </xf>
    <xf numFmtId="3" fontId="0" fillId="0" borderId="16" xfId="0" applyNumberFormat="1" applyFill="1" applyBorder="1" applyAlignment="1">
      <alignment horizontal="center"/>
    </xf>
    <xf numFmtId="3" fontId="0" fillId="0" borderId="113" xfId="0" applyNumberFormat="1" applyBorder="1" applyAlignment="1">
      <alignment/>
    </xf>
    <xf numFmtId="3" fontId="0" fillId="0" borderId="14" xfId="0" applyNumberFormat="1" applyBorder="1" applyAlignment="1">
      <alignment horizontal="center"/>
    </xf>
    <xf numFmtId="3" fontId="0" fillId="0" borderId="112" xfId="0" applyNumberFormat="1" applyBorder="1" applyAlignment="1">
      <alignment horizontal="center"/>
    </xf>
    <xf numFmtId="3" fontId="0" fillId="0" borderId="113" xfId="0" applyNumberFormat="1" applyBorder="1" applyAlignment="1">
      <alignment horizontal="center"/>
    </xf>
    <xf numFmtId="3" fontId="0" fillId="0" borderId="114" xfId="0" applyNumberFormat="1"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3" fontId="0" fillId="0" borderId="15" xfId="0" applyNumberFormat="1" applyBorder="1" applyAlignment="1">
      <alignment horizontal="center"/>
    </xf>
    <xf numFmtId="3" fontId="0" fillId="0" borderId="17" xfId="0" applyNumberFormat="1" applyBorder="1" applyAlignment="1">
      <alignment horizontal="center"/>
    </xf>
    <xf numFmtId="3" fontId="0" fillId="0" borderId="16" xfId="0" applyNumberFormat="1" applyBorder="1" applyAlignment="1">
      <alignment horizontal="center"/>
    </xf>
    <xf numFmtId="0" fontId="11" fillId="64" borderId="13"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B37A96"/>
      <rgbColor rgb="009999FF"/>
      <rgbColor rgb="00993366"/>
      <rgbColor rgb="00FFFFCC"/>
      <rgbColor rgb="00CCFFFF"/>
      <rgbColor rgb="00660066"/>
      <rgbColor rgb="00FF8080"/>
      <rgbColor rgb="000066CC"/>
      <rgbColor rgb="00BFBFB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8F8F8F"/>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95250</xdr:rowOff>
    </xdr:from>
    <xdr:to>
      <xdr:col>4</xdr:col>
      <xdr:colOff>771525</xdr:colOff>
      <xdr:row>12</xdr:row>
      <xdr:rowOff>85725</xdr:rowOff>
    </xdr:to>
    <xdr:sp fLocksText="0">
      <xdr:nvSpPr>
        <xdr:cNvPr id="1" name="Text 1"/>
        <xdr:cNvSpPr txBox="1">
          <a:spLocks noChangeArrowheads="1"/>
        </xdr:cNvSpPr>
      </xdr:nvSpPr>
      <xdr:spPr>
        <a:xfrm>
          <a:off x="38100" y="1143000"/>
          <a:ext cx="8105775" cy="904875"/>
        </a:xfrm>
        <a:prstGeom prst="rect">
          <a:avLst/>
        </a:prstGeom>
        <a:noFill/>
        <a:ln w="9525" cmpd="sng">
          <a:noFill/>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Con el objeto de medir comparativamente el bienestar otorgado al personal de la Armada por la Prestación Educacional, es necesario recabar antecedentes comparativos que permitan cuantificar las alternativas que ofrece el mercado en cada Zona Naval.
</a:t>
          </a:r>
          <a:r>
            <a:rPr lang="en-US" cap="none" sz="1000" b="0" i="0" u="none" baseline="0">
              <a:solidFill>
                <a:srgbClr val="000000"/>
              </a:solidFill>
              <a:latin typeface="Arial"/>
              <a:ea typeface="Arial"/>
              <a:cs typeface="Arial"/>
            </a:rPr>
            <a:t>Este cuadro comparativo debe ser completado con a lo menos dos instalaciones privadas o de otras instituciones a las que tenga acceso el  personal de la Armada y que otorguen prestaciones de calidad similar a las otorgadas por las instalaciones educacionales del SBA a comparar.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5">
    <pageSetUpPr fitToPage="1"/>
  </sheetPr>
  <dimension ref="A1:IV34"/>
  <sheetViews>
    <sheetView zoomScalePageLayoutView="0" workbookViewId="0" topLeftCell="A1">
      <selection activeCell="C28" sqref="C28"/>
    </sheetView>
  </sheetViews>
  <sheetFormatPr defaultColWidth="11.421875" defaultRowHeight="12.75"/>
  <cols>
    <col min="1" max="1" width="34.421875" style="1" customWidth="1"/>
    <col min="2" max="2" width="40.8515625" style="1" customWidth="1"/>
    <col min="3" max="3" width="16.8515625" style="1" customWidth="1"/>
    <col min="4" max="4" width="18.421875" style="1" customWidth="1"/>
    <col min="5" max="5" width="19.28125" style="1" customWidth="1"/>
    <col min="6" max="6" width="19.8515625" style="1" customWidth="1"/>
    <col min="7" max="7" width="18.7109375" style="70" customWidth="1"/>
    <col min="8" max="11" width="18.7109375" style="1" customWidth="1"/>
    <col min="12" max="16384" width="11.421875" style="1" customWidth="1"/>
  </cols>
  <sheetData>
    <row r="1" spans="1:256" s="4" customFormat="1" ht="13.5">
      <c r="A1" s="329" t="s">
        <v>0</v>
      </c>
      <c r="B1" s="329"/>
      <c r="C1" s="329"/>
      <c r="D1" s="329"/>
      <c r="E1" s="329"/>
      <c r="F1" s="3"/>
      <c r="G1" s="3"/>
      <c r="IK1" s="1"/>
      <c r="IL1" s="1"/>
      <c r="IM1" s="1"/>
      <c r="IN1" s="1"/>
      <c r="IO1" s="1"/>
      <c r="IP1" s="1"/>
      <c r="IQ1" s="1"/>
      <c r="IR1" s="1"/>
      <c r="IS1" s="1"/>
      <c r="IT1" s="1"/>
      <c r="IU1" s="1"/>
      <c r="IV1" s="1"/>
    </row>
    <row r="2" spans="1:256" s="4" customFormat="1" ht="15.75" customHeight="1">
      <c r="A2" s="329" t="s">
        <v>163</v>
      </c>
      <c r="B2" s="329"/>
      <c r="C2" s="329"/>
      <c r="D2" s="329"/>
      <c r="E2" s="329"/>
      <c r="F2" s="3"/>
      <c r="G2" s="3"/>
      <c r="IK2" s="1"/>
      <c r="IL2" s="1"/>
      <c r="IM2" s="1"/>
      <c r="IN2" s="1"/>
      <c r="IO2" s="1"/>
      <c r="IP2" s="1"/>
      <c r="IQ2" s="1"/>
      <c r="IR2" s="1"/>
      <c r="IS2" s="1"/>
      <c r="IT2" s="1"/>
      <c r="IU2" s="1"/>
      <c r="IV2" s="1"/>
    </row>
    <row r="3" spans="1:256" s="4" customFormat="1" ht="18" customHeight="1">
      <c r="A3" s="329" t="s">
        <v>164</v>
      </c>
      <c r="B3" s="329"/>
      <c r="C3" s="329"/>
      <c r="D3" s="329"/>
      <c r="E3" s="329"/>
      <c r="F3" s="3"/>
      <c r="G3" s="3"/>
      <c r="IK3" s="1"/>
      <c r="IL3" s="1"/>
      <c r="IM3" s="1"/>
      <c r="IN3" s="1"/>
      <c r="IO3" s="1"/>
      <c r="IP3" s="1"/>
      <c r="IQ3" s="1"/>
      <c r="IR3" s="1"/>
      <c r="IS3" s="1"/>
      <c r="IT3" s="1"/>
      <c r="IU3" s="1"/>
      <c r="IV3" s="1"/>
    </row>
    <row r="4" spans="1:256" s="4" customFormat="1" ht="11.25" customHeight="1">
      <c r="A4" s="1"/>
      <c r="B4" s="1"/>
      <c r="D4" s="1"/>
      <c r="F4" s="1"/>
      <c r="G4" s="3"/>
      <c r="IK4" s="1"/>
      <c r="IL4" s="1"/>
      <c r="IM4" s="1"/>
      <c r="IN4" s="1"/>
      <c r="IO4" s="1"/>
      <c r="IP4" s="1"/>
      <c r="IQ4" s="1"/>
      <c r="IR4" s="1"/>
      <c r="IS4" s="1"/>
      <c r="IT4" s="1"/>
      <c r="IU4" s="1"/>
      <c r="IV4" s="1"/>
    </row>
    <row r="5" spans="1:256" s="4" customFormat="1" ht="12" customHeight="1">
      <c r="A5" s="330" t="s">
        <v>3</v>
      </c>
      <c r="B5" s="330"/>
      <c r="C5" s="107" t="str">
        <f>'Ap. 2 Ingresos C. Benef.'!$I$5</f>
        <v>BIENIQUE</v>
      </c>
      <c r="D5" s="36"/>
      <c r="E5" s="1"/>
      <c r="F5" s="36"/>
      <c r="G5" s="70"/>
      <c r="IK5" s="1"/>
      <c r="IL5" s="1"/>
      <c r="IM5" s="1"/>
      <c r="IN5" s="1"/>
      <c r="IO5" s="1"/>
      <c r="IP5" s="1"/>
      <c r="IQ5" s="1"/>
      <c r="IR5" s="1"/>
      <c r="IS5" s="1"/>
      <c r="IT5" s="1"/>
      <c r="IU5" s="1"/>
      <c r="IV5" s="1"/>
    </row>
    <row r="6" spans="1:256" s="4" customFormat="1" ht="12" customHeight="1">
      <c r="A6" s="7"/>
      <c r="B6" s="8"/>
      <c r="C6" s="36"/>
      <c r="D6" s="36"/>
      <c r="E6" s="1"/>
      <c r="F6" s="36"/>
      <c r="G6" s="70"/>
      <c r="IK6" s="1"/>
      <c r="IL6" s="1"/>
      <c r="IM6" s="1"/>
      <c r="IN6" s="1"/>
      <c r="IO6" s="1"/>
      <c r="IP6" s="1"/>
      <c r="IQ6" s="1"/>
      <c r="IR6" s="1"/>
      <c r="IS6" s="1"/>
      <c r="IT6" s="1"/>
      <c r="IU6" s="1"/>
      <c r="IV6" s="1"/>
    </row>
    <row r="7" spans="1:256" s="4" customFormat="1" ht="12" customHeight="1">
      <c r="A7" s="7"/>
      <c r="B7" s="8"/>
      <c r="C7" s="36"/>
      <c r="D7" s="36"/>
      <c r="E7" s="1"/>
      <c r="F7" s="36"/>
      <c r="G7" s="70"/>
      <c r="IK7" s="1"/>
      <c r="IL7" s="1"/>
      <c r="IM7" s="1"/>
      <c r="IN7" s="1"/>
      <c r="IO7" s="1"/>
      <c r="IP7" s="1"/>
      <c r="IQ7" s="1"/>
      <c r="IR7" s="1"/>
      <c r="IS7" s="1"/>
      <c r="IT7" s="1"/>
      <c r="IU7" s="1"/>
      <c r="IV7" s="1"/>
    </row>
    <row r="8" spans="1:256" s="4" customFormat="1" ht="12" customHeight="1">
      <c r="A8" s="7"/>
      <c r="B8" s="8"/>
      <c r="C8" s="36"/>
      <c r="D8" s="36"/>
      <c r="E8" s="1"/>
      <c r="F8" s="36"/>
      <c r="G8" s="70"/>
      <c r="IK8" s="1"/>
      <c r="IL8" s="1"/>
      <c r="IM8" s="1"/>
      <c r="IN8" s="1"/>
      <c r="IO8" s="1"/>
      <c r="IP8" s="1"/>
      <c r="IQ8" s="1"/>
      <c r="IR8" s="1"/>
      <c r="IS8" s="1"/>
      <c r="IT8" s="1"/>
      <c r="IU8" s="1"/>
      <c r="IV8" s="1"/>
    </row>
    <row r="9" spans="1:256" s="4" customFormat="1" ht="12" customHeight="1">
      <c r="A9" s="7"/>
      <c r="B9" s="8"/>
      <c r="C9" s="36"/>
      <c r="D9" s="36"/>
      <c r="E9" s="1"/>
      <c r="F9" s="36"/>
      <c r="G9" s="70"/>
      <c r="IK9" s="1"/>
      <c r="IL9" s="1"/>
      <c r="IM9" s="1"/>
      <c r="IN9" s="1"/>
      <c r="IO9" s="1"/>
      <c r="IP9" s="1"/>
      <c r="IQ9" s="1"/>
      <c r="IR9" s="1"/>
      <c r="IS9" s="1"/>
      <c r="IT9" s="1"/>
      <c r="IU9" s="1"/>
      <c r="IV9" s="1"/>
    </row>
    <row r="10" spans="1:256" s="4" customFormat="1" ht="12" customHeight="1">
      <c r="A10" s="7"/>
      <c r="B10" s="8"/>
      <c r="C10" s="36"/>
      <c r="D10" s="36"/>
      <c r="E10" s="1"/>
      <c r="F10" s="36"/>
      <c r="G10" s="70"/>
      <c r="IK10" s="1"/>
      <c r="IL10" s="1"/>
      <c r="IM10" s="1"/>
      <c r="IN10" s="1"/>
      <c r="IO10" s="1"/>
      <c r="IP10" s="1"/>
      <c r="IQ10" s="1"/>
      <c r="IR10" s="1"/>
      <c r="IS10" s="1"/>
      <c r="IT10" s="1"/>
      <c r="IU10" s="1"/>
      <c r="IV10" s="1"/>
    </row>
    <row r="11" spans="1:256" s="4" customFormat="1" ht="12" customHeight="1">
      <c r="A11" s="7"/>
      <c r="B11" s="8"/>
      <c r="C11" s="36"/>
      <c r="D11" s="36"/>
      <c r="E11" s="1"/>
      <c r="F11" s="36"/>
      <c r="G11" s="70"/>
      <c r="IK11" s="1"/>
      <c r="IL11" s="1"/>
      <c r="IM11" s="1"/>
      <c r="IN11" s="1"/>
      <c r="IO11" s="1"/>
      <c r="IP11" s="1"/>
      <c r="IQ11" s="1"/>
      <c r="IR11" s="1"/>
      <c r="IS11" s="1"/>
      <c r="IT11" s="1"/>
      <c r="IU11" s="1"/>
      <c r="IV11" s="1"/>
    </row>
    <row r="12" spans="1:256" s="4" customFormat="1" ht="12" customHeight="1">
      <c r="A12" s="95"/>
      <c r="B12" s="96"/>
      <c r="C12" s="36"/>
      <c r="D12" s="36"/>
      <c r="E12" s="1"/>
      <c r="F12" s="36"/>
      <c r="G12" s="70"/>
      <c r="IK12" s="1"/>
      <c r="IL12" s="1"/>
      <c r="IM12" s="1"/>
      <c r="IN12" s="1"/>
      <c r="IO12" s="1"/>
      <c r="IP12" s="1"/>
      <c r="IQ12" s="1"/>
      <c r="IR12" s="1"/>
      <c r="IS12" s="1"/>
      <c r="IT12" s="1"/>
      <c r="IU12" s="1"/>
      <c r="IV12" s="1"/>
    </row>
    <row r="13" spans="1:256" s="4" customFormat="1" ht="12" customHeight="1">
      <c r="A13" s="97"/>
      <c r="B13" s="97"/>
      <c r="C13" s="97"/>
      <c r="D13" s="97"/>
      <c r="E13" s="97"/>
      <c r="F13" s="97"/>
      <c r="G13" s="3"/>
      <c r="H13" s="37"/>
      <c r="I13" s="37"/>
      <c r="J13" s="37"/>
      <c r="IK13" s="1"/>
      <c r="IL13" s="1"/>
      <c r="IM13" s="1"/>
      <c r="IN13" s="1"/>
      <c r="IO13" s="1"/>
      <c r="IP13" s="1"/>
      <c r="IQ13" s="1"/>
      <c r="IR13" s="1"/>
      <c r="IS13" s="1"/>
      <c r="IT13" s="1"/>
      <c r="IU13" s="1"/>
      <c r="IV13" s="1"/>
    </row>
    <row r="14" spans="1:256" s="19" customFormat="1" ht="12" customHeight="1">
      <c r="A14" s="23"/>
      <c r="B14" s="23"/>
      <c r="C14" s="98" t="s">
        <v>165</v>
      </c>
      <c r="D14" s="99"/>
      <c r="E14" s="38">
        <v>12</v>
      </c>
      <c r="F14" s="17"/>
      <c r="G14" s="297"/>
      <c r="IK14" s="23"/>
      <c r="IL14" s="23"/>
      <c r="IM14" s="23"/>
      <c r="IN14" s="23"/>
      <c r="IO14" s="23"/>
      <c r="IP14" s="23"/>
      <c r="IQ14" s="23"/>
      <c r="IR14" s="23"/>
      <c r="IS14" s="23"/>
      <c r="IT14" s="23"/>
      <c r="IU14" s="23"/>
      <c r="IV14" s="23"/>
    </row>
    <row r="15" spans="1:256" s="19" customFormat="1" ht="13.5" customHeight="1">
      <c r="A15" s="23"/>
      <c r="B15" s="23"/>
      <c r="C15" s="98" t="s">
        <v>166</v>
      </c>
      <c r="D15" s="99"/>
      <c r="E15" s="38">
        <v>10</v>
      </c>
      <c r="F15" s="17"/>
      <c r="G15" s="297"/>
      <c r="IK15" s="23"/>
      <c r="IL15" s="23"/>
      <c r="IM15" s="23"/>
      <c r="IN15" s="23"/>
      <c r="IO15" s="23"/>
      <c r="IP15" s="23"/>
      <c r="IQ15" s="23"/>
      <c r="IR15" s="23"/>
      <c r="IS15" s="23"/>
      <c r="IT15" s="23"/>
      <c r="IU15" s="23"/>
      <c r="IV15" s="23"/>
    </row>
    <row r="16" spans="1:256" s="19" customFormat="1" ht="13.5" customHeight="1">
      <c r="A16" s="23"/>
      <c r="B16" s="23"/>
      <c r="C16" s="17"/>
      <c r="D16" s="17"/>
      <c r="E16" s="94"/>
      <c r="F16" s="17"/>
      <c r="G16" s="297"/>
      <c r="IK16" s="23"/>
      <c r="IL16" s="23"/>
      <c r="IM16" s="23"/>
      <c r="IN16" s="23"/>
      <c r="IO16" s="23"/>
      <c r="IP16" s="23"/>
      <c r="IQ16" s="23"/>
      <c r="IR16" s="23"/>
      <c r="IS16" s="23"/>
      <c r="IT16" s="23"/>
      <c r="IU16" s="23"/>
      <c r="IV16" s="23"/>
    </row>
    <row r="17" spans="1:5" ht="13.5">
      <c r="A17" s="23"/>
      <c r="B17" s="23"/>
      <c r="C17" s="23"/>
      <c r="D17" s="23"/>
      <c r="E17" s="23"/>
    </row>
    <row r="18" spans="1:7" ht="13.5">
      <c r="A18" s="331" t="str">
        <f>'Ap. 5 Tarifado '!A8</f>
        <v>Centro Beneficio</v>
      </c>
      <c r="B18" s="331" t="str">
        <f>'Ap. 5 Tarifado '!B8</f>
        <v>Prestación [Unidad]</v>
      </c>
      <c r="C18" s="101" t="str">
        <f>'Ap. 5 Tarifado '!C8</f>
        <v>Matrícula</v>
      </c>
      <c r="D18" s="102" t="str">
        <f>'Ap. 5 Tarifado '!G8</f>
        <v>Mensualidad</v>
      </c>
      <c r="E18" s="103" t="s">
        <v>167</v>
      </c>
      <c r="G18" s="298" t="s">
        <v>315</v>
      </c>
    </row>
    <row r="19" spans="1:7" ht="41.25">
      <c r="A19" s="331">
        <f>'Ap. 5 Tarifado '!A9</f>
        <v>0</v>
      </c>
      <c r="B19" s="331">
        <f>'Ap. 5 Tarifado '!B9</f>
        <v>0</v>
      </c>
      <c r="C19" s="104" t="str">
        <f>'Ap. 5 Tarifado '!C9</f>
        <v>Personal Servicio Activo Armada y otras FFAA</v>
      </c>
      <c r="D19" s="104" t="str">
        <f>'Ap. 5 Tarifado '!G9</f>
        <v>Personal Servicio Activo Armada y otras FFAA</v>
      </c>
      <c r="E19" s="104" t="s">
        <v>168</v>
      </c>
      <c r="G19" s="299"/>
    </row>
    <row r="20" spans="1:7" ht="13.5">
      <c r="A20" s="328" t="str">
        <f>'Ap. 5 Tarifado '!A10</f>
        <v>JARDIN INFANTIL "PEQUEÑOS HEROES"</v>
      </c>
      <c r="B20" s="100" t="str">
        <f>'Ap. 5 Tarifado '!B10</f>
        <v>Jardín [Media Jornada]</v>
      </c>
      <c r="C20" s="105">
        <f>'Ap. 2 Ingresos C. Benef.'!D17</f>
        <v>56200</v>
      </c>
      <c r="D20" s="105">
        <f>C20</f>
        <v>56200</v>
      </c>
      <c r="E20" s="105">
        <f>C20+(D20*$E$15)</f>
        <v>618200</v>
      </c>
      <c r="F20" s="1" t="s">
        <v>282</v>
      </c>
      <c r="G20" s="299"/>
    </row>
    <row r="21" spans="1:7" ht="13.5">
      <c r="A21" s="328">
        <f>'Ap. 5 Tarifado '!A11</f>
        <v>0</v>
      </c>
      <c r="B21" s="100" t="str">
        <f>'Ap. 5 Tarifado '!B11</f>
        <v>Jardín [Jornada Completa]     </v>
      </c>
      <c r="C21" s="105">
        <f>'Ap. 2 Ingresos C. Benef.'!D20</f>
        <v>93700</v>
      </c>
      <c r="D21" s="105">
        <f>C21</f>
        <v>93700</v>
      </c>
      <c r="E21" s="105">
        <f>C21+(D21*$E$15)</f>
        <v>1030700</v>
      </c>
      <c r="G21" s="299"/>
    </row>
    <row r="22" spans="1:7" ht="13.5">
      <c r="A22" s="328">
        <f>'Ap. 5 Tarifado '!A12</f>
        <v>0</v>
      </c>
      <c r="B22" s="100" t="str">
        <f>'Ap. 5 Tarifado '!B12</f>
        <v>Jardín [Media Jornada con Colación y Almuerzo] </v>
      </c>
      <c r="C22" s="105">
        <f>'Ap. 2 Ingresos C. Benef.'!D23</f>
        <v>80300</v>
      </c>
      <c r="D22" s="105">
        <f>C22</f>
        <v>80300</v>
      </c>
      <c r="E22" s="105">
        <f>C22+(D22*$E$15)</f>
        <v>883300</v>
      </c>
      <c r="G22" s="299"/>
    </row>
    <row r="23" spans="1:7" ht="12.75" customHeight="1">
      <c r="A23" s="327" t="s">
        <v>169</v>
      </c>
      <c r="B23" s="39" t="s">
        <v>26</v>
      </c>
      <c r="C23" s="106"/>
      <c r="D23" s="106"/>
      <c r="E23" s="105">
        <f>C23+D23*$E$15</f>
        <v>0</v>
      </c>
      <c r="G23" s="299"/>
    </row>
    <row r="24" spans="1:7" ht="13.5">
      <c r="A24" s="327"/>
      <c r="B24" s="39" t="s">
        <v>30</v>
      </c>
      <c r="C24" s="106">
        <v>84000</v>
      </c>
      <c r="D24" s="106"/>
      <c r="E24" s="105">
        <v>84000</v>
      </c>
      <c r="G24" s="299"/>
    </row>
    <row r="25" spans="1:7" ht="13.5">
      <c r="A25" s="327"/>
      <c r="B25" s="41" t="s">
        <v>172</v>
      </c>
      <c r="C25" s="106">
        <v>125000</v>
      </c>
      <c r="D25" s="106"/>
      <c r="E25" s="105">
        <f>C25+D25*$E$15</f>
        <v>125000</v>
      </c>
      <c r="G25" s="300">
        <f>(C25-C21)/C25</f>
        <v>0.2504</v>
      </c>
    </row>
    <row r="26" spans="1:7" ht="14.25" customHeight="1">
      <c r="A26" s="327"/>
      <c r="B26" s="39" t="s">
        <v>31</v>
      </c>
      <c r="C26" s="106"/>
      <c r="D26" s="106"/>
      <c r="E26" s="105">
        <f>C26+D26*$E$15</f>
        <v>0</v>
      </c>
      <c r="G26" s="298"/>
    </row>
    <row r="27" spans="1:7" ht="12.75" customHeight="1">
      <c r="A27" s="327" t="s">
        <v>170</v>
      </c>
      <c r="B27" s="39" t="s">
        <v>26</v>
      </c>
      <c r="C27" s="106"/>
      <c r="D27" s="106"/>
      <c r="E27" s="105">
        <f>C27+D27*$E$15</f>
        <v>0</v>
      </c>
      <c r="G27" s="298"/>
    </row>
    <row r="28" spans="1:7" ht="13.5">
      <c r="A28" s="327"/>
      <c r="B28" s="39" t="s">
        <v>30</v>
      </c>
      <c r="C28" s="106">
        <v>133000</v>
      </c>
      <c r="D28" s="106">
        <v>133000</v>
      </c>
      <c r="E28" s="105">
        <v>133000</v>
      </c>
      <c r="G28" s="300">
        <f>(D28-C21)/D28</f>
        <v>0.2954887218045113</v>
      </c>
    </row>
    <row r="29" spans="1:7" ht="13.5">
      <c r="A29" s="327"/>
      <c r="B29" s="39" t="s">
        <v>31</v>
      </c>
      <c r="C29" s="106">
        <v>0</v>
      </c>
      <c r="D29" s="106">
        <v>0</v>
      </c>
      <c r="E29" s="105">
        <f>C29+D29*$E$15</f>
        <v>0</v>
      </c>
      <c r="G29" s="298"/>
    </row>
    <row r="30" spans="1:7" ht="13.5">
      <c r="A30" s="327" t="s">
        <v>297</v>
      </c>
      <c r="B30" s="39" t="s">
        <v>26</v>
      </c>
      <c r="C30" s="106"/>
      <c r="D30" s="106"/>
      <c r="E30" s="105">
        <f>C30+D30*$E$15</f>
        <v>0</v>
      </c>
      <c r="G30" s="298"/>
    </row>
    <row r="31" spans="1:7" ht="13.5">
      <c r="A31" s="327"/>
      <c r="B31" s="39" t="s">
        <v>30</v>
      </c>
      <c r="C31" s="106"/>
      <c r="D31" s="106">
        <v>350000</v>
      </c>
      <c r="E31" s="105"/>
      <c r="G31" s="300">
        <f>(D31-C21)/D31</f>
        <v>0.7322857142857143</v>
      </c>
    </row>
    <row r="32" spans="1:7" ht="13.5">
      <c r="A32" s="327"/>
      <c r="B32" s="39" t="s">
        <v>31</v>
      </c>
      <c r="C32" s="106">
        <v>0</v>
      </c>
      <c r="D32" s="106">
        <v>0</v>
      </c>
      <c r="E32" s="105">
        <f>C32+D32*$E$15</f>
        <v>0</v>
      </c>
      <c r="G32" s="299"/>
    </row>
    <row r="34" spans="1:4" ht="13.5">
      <c r="A34" s="1" t="s">
        <v>298</v>
      </c>
      <c r="B34" s="1" t="s">
        <v>299</v>
      </c>
      <c r="D34" s="59">
        <v>150000</v>
      </c>
    </row>
  </sheetData>
  <sheetProtection selectLockedCells="1" selectUnlockedCells="1"/>
  <mergeCells count="10">
    <mergeCell ref="A30:A32"/>
    <mergeCell ref="A20:A22"/>
    <mergeCell ref="A23:A26"/>
    <mergeCell ref="A27:A29"/>
    <mergeCell ref="A1:E1"/>
    <mergeCell ref="A2:E2"/>
    <mergeCell ref="A3:E3"/>
    <mergeCell ref="A5:B5"/>
    <mergeCell ref="A18:A19"/>
    <mergeCell ref="B18:B19"/>
  </mergeCells>
  <printOptions/>
  <pageMargins left="0.7479166666666667" right="0.7479166666666667" top="0.8097222222222222" bottom="0.8902777777777777" header="0.4" footer="0.4"/>
  <pageSetup fitToHeight="1" fitToWidth="1" horizontalDpi="300" verticalDpi="300" orientation="landscape" r:id="rId2"/>
  <headerFooter alignWithMargins="0">
    <oddHeader>&amp;LSEPT - 2004&amp;CDIRECTIVA D.B.S.A.
ORDINARIA&amp;R01-BS/0305/04</oddHeader>
    <oddFooter>&amp;LDEPARTAMENTO
RRHH Y GESTION&amp;C01-BS&amp;RPAG &amp;P</oddFooter>
  </headerFooter>
  <drawing r:id="rId1"/>
</worksheet>
</file>

<file path=xl/worksheets/sheet2.xml><?xml version="1.0" encoding="utf-8"?>
<worksheet xmlns="http://schemas.openxmlformats.org/spreadsheetml/2006/main" xmlns:r="http://schemas.openxmlformats.org/officeDocument/2006/relationships">
  <sheetPr codeName="Hoja2"/>
  <dimension ref="A1:IV39"/>
  <sheetViews>
    <sheetView showGridLines="0" tabSelected="1" zoomScale="85" zoomScaleNormal="85" zoomScalePageLayoutView="0" workbookViewId="0" topLeftCell="A7">
      <selection activeCell="K11" sqref="K11"/>
    </sheetView>
  </sheetViews>
  <sheetFormatPr defaultColWidth="11.421875" defaultRowHeight="12.75"/>
  <cols>
    <col min="1" max="1" width="15.7109375" style="1" customWidth="1"/>
    <col min="2" max="2" width="22.00390625" style="1" customWidth="1"/>
    <col min="3" max="3" width="14.00390625" style="1" customWidth="1"/>
    <col min="4" max="4" width="17.8515625" style="1" customWidth="1"/>
    <col min="5" max="5" width="20.57421875" style="1" customWidth="1"/>
    <col min="6" max="6" width="17.8515625" style="1" customWidth="1"/>
    <col min="7" max="7" width="18.7109375" style="1" bestFit="1" customWidth="1"/>
    <col min="8" max="8" width="19.28125" style="1" customWidth="1"/>
    <col min="9" max="10" width="18.7109375" style="1" customWidth="1"/>
    <col min="11" max="11" width="19.00390625" style="1" customWidth="1"/>
    <col min="12" max="12" width="17.28125" style="1" customWidth="1"/>
    <col min="13" max="13" width="13.140625" style="1" customWidth="1"/>
    <col min="14" max="14" width="17.57421875" style="1" customWidth="1"/>
    <col min="15" max="15" width="14.8515625" style="1" bestFit="1" customWidth="1"/>
    <col min="16" max="16" width="14.00390625" style="1" customWidth="1"/>
    <col min="17" max="17" width="12.7109375" style="1" customWidth="1"/>
    <col min="18" max="18" width="11.140625" style="1" customWidth="1"/>
    <col min="19" max="19" width="14.421875" style="1" bestFit="1" customWidth="1"/>
    <col min="20" max="20" width="14.8515625" style="1" bestFit="1" customWidth="1"/>
    <col min="21" max="16384" width="11.421875" style="1" customWidth="1"/>
  </cols>
  <sheetData>
    <row r="1" spans="1:18" s="4" customFormat="1" ht="13.5">
      <c r="A1" s="329" t="s">
        <v>0</v>
      </c>
      <c r="B1" s="329"/>
      <c r="C1" s="329"/>
      <c r="D1" s="329"/>
      <c r="E1" s="2"/>
      <c r="F1" s="2"/>
      <c r="G1" s="2"/>
      <c r="H1" s="2"/>
      <c r="I1" s="2"/>
      <c r="J1" s="2"/>
      <c r="K1" s="2"/>
      <c r="L1" s="2"/>
      <c r="M1" s="2"/>
      <c r="N1" s="2"/>
      <c r="O1" s="2"/>
      <c r="P1" s="3"/>
      <c r="Q1" s="3"/>
      <c r="R1" s="3"/>
    </row>
    <row r="2" spans="1:18" s="4" customFormat="1" ht="13.5">
      <c r="A2" s="329" t="s">
        <v>1</v>
      </c>
      <c r="B2" s="329"/>
      <c r="C2" s="329"/>
      <c r="D2" s="329"/>
      <c r="E2" s="2"/>
      <c r="F2" s="2"/>
      <c r="G2" s="2"/>
      <c r="H2" s="2"/>
      <c r="I2" s="2"/>
      <c r="J2" s="2"/>
      <c r="K2" s="2"/>
      <c r="L2" s="2"/>
      <c r="M2" s="2"/>
      <c r="N2" s="2"/>
      <c r="O2" s="2"/>
      <c r="P2" s="3"/>
      <c r="Q2" s="3"/>
      <c r="R2" s="3"/>
    </row>
    <row r="3" spans="1:18" s="4" customFormat="1" ht="13.5">
      <c r="A3" s="329" t="s">
        <v>2</v>
      </c>
      <c r="B3" s="329"/>
      <c r="C3" s="329"/>
      <c r="D3" s="329"/>
      <c r="E3" s="2"/>
      <c r="F3" s="2"/>
      <c r="G3" s="2"/>
      <c r="H3" s="2"/>
      <c r="I3" s="2"/>
      <c r="J3" s="2"/>
      <c r="K3" s="2"/>
      <c r="L3" s="2"/>
      <c r="M3" s="2"/>
      <c r="N3" s="2"/>
      <c r="O3" s="2"/>
      <c r="P3" s="3"/>
      <c r="Q3" s="3"/>
      <c r="R3" s="3"/>
    </row>
    <row r="4" spans="1:2" s="4" customFormat="1" ht="14.25" customHeight="1">
      <c r="A4" s="1"/>
      <c r="B4" s="1"/>
    </row>
    <row r="5" spans="1:256" s="4" customFormat="1" ht="21.75" customHeight="1">
      <c r="A5" s="1"/>
      <c r="B5" s="1"/>
      <c r="C5" s="1"/>
      <c r="D5" s="1"/>
      <c r="E5" s="1"/>
      <c r="F5" s="1"/>
      <c r="G5" s="5" t="s">
        <v>3</v>
      </c>
      <c r="H5" s="6"/>
      <c r="I5" s="351" t="s">
        <v>4</v>
      </c>
      <c r="J5" s="351"/>
      <c r="IV5" s="1"/>
    </row>
    <row r="6" spans="1:11" s="4" customFormat="1" ht="12" customHeight="1">
      <c r="A6" s="1"/>
      <c r="B6" s="1"/>
      <c r="C6" s="1"/>
      <c r="D6" s="1"/>
      <c r="E6" s="1"/>
      <c r="F6" s="1"/>
      <c r="G6" s="7"/>
      <c r="H6" s="8"/>
      <c r="I6" s="8"/>
      <c r="J6" s="9"/>
      <c r="K6" s="9"/>
    </row>
    <row r="7" ht="18" customHeight="1">
      <c r="A7" s="10" t="s">
        <v>5</v>
      </c>
    </row>
    <row r="8" spans="1:15" ht="24.75">
      <c r="A8" s="352" t="str">
        <f>$A$15</f>
        <v>Centro Beneficio</v>
      </c>
      <c r="B8" s="352"/>
      <c r="C8" s="352"/>
      <c r="D8" s="113" t="s">
        <v>6</v>
      </c>
      <c r="E8" s="113" t="s">
        <v>7</v>
      </c>
      <c r="F8" s="114" t="s">
        <v>176</v>
      </c>
      <c r="G8" s="113" t="s">
        <v>8</v>
      </c>
      <c r="H8" s="113" t="s">
        <v>9</v>
      </c>
      <c r="I8" s="113" t="s">
        <v>10</v>
      </c>
      <c r="J8" s="113" t="s">
        <v>11</v>
      </c>
      <c r="K8" s="113" t="s">
        <v>12</v>
      </c>
      <c r="L8" s="11"/>
      <c r="M8" s="338" t="s">
        <v>239</v>
      </c>
      <c r="N8" s="339"/>
      <c r="O8" s="246">
        <v>1.06</v>
      </c>
    </row>
    <row r="9" spans="1:15" ht="24.75">
      <c r="A9" s="353" t="str">
        <f>$A$17</f>
        <v>JARDIN INFANTIL "PEQUEÑOS HEROES"</v>
      </c>
      <c r="B9" s="353"/>
      <c r="C9" s="353"/>
      <c r="D9" s="125">
        <f>M26</f>
        <v>9717000</v>
      </c>
      <c r="E9" s="125">
        <f>N26</f>
        <v>97170000</v>
      </c>
      <c r="F9" s="125">
        <f>+O26</f>
        <v>1768000</v>
      </c>
      <c r="G9" s="125">
        <f>P26</f>
        <v>108655000</v>
      </c>
      <c r="H9" s="125">
        <f>'Ap. 3 Costos Directos'!$H$93</f>
        <v>108418621.75096306</v>
      </c>
      <c r="I9" s="125">
        <f>'Ap. 4 Costos Indirectos'!$B$9</f>
        <v>3990897.66</v>
      </c>
      <c r="J9" s="125">
        <f>SUM(H9:I9)</f>
        <v>112409519.41096306</v>
      </c>
      <c r="K9" s="280">
        <f>G9-J9</f>
        <v>-3754519.4109630585</v>
      </c>
      <c r="L9" s="11"/>
      <c r="M9" s="338" t="s">
        <v>240</v>
      </c>
      <c r="N9" s="339"/>
      <c r="O9" s="247">
        <v>110</v>
      </c>
    </row>
    <row r="10" spans="1:13" ht="13.5">
      <c r="A10" s="350" t="s">
        <v>13</v>
      </c>
      <c r="B10" s="350"/>
      <c r="C10" s="350"/>
      <c r="D10" s="126">
        <v>0</v>
      </c>
      <c r="E10" s="126">
        <v>0</v>
      </c>
      <c r="F10" s="126">
        <v>0</v>
      </c>
      <c r="G10" s="126">
        <v>0</v>
      </c>
      <c r="H10" s="126">
        <v>0</v>
      </c>
      <c r="I10" s="126">
        <v>0</v>
      </c>
      <c r="J10" s="126">
        <v>0</v>
      </c>
      <c r="K10" s="281">
        <v>0</v>
      </c>
      <c r="L10" s="11"/>
      <c r="M10" s="11"/>
    </row>
    <row r="11" spans="1:256" s="4" customFormat="1" ht="16.5" customHeight="1">
      <c r="A11" s="344" t="s">
        <v>14</v>
      </c>
      <c r="B11" s="344"/>
      <c r="C11" s="344"/>
      <c r="D11" s="112">
        <f>SUM(D9:D10)</f>
        <v>9717000</v>
      </c>
      <c r="E11" s="112">
        <f aca="true" t="shared" si="0" ref="E11:J11">SUM(E9:E10)</f>
        <v>97170000</v>
      </c>
      <c r="F11" s="112">
        <f t="shared" si="0"/>
        <v>1768000</v>
      </c>
      <c r="G11" s="112">
        <f t="shared" si="0"/>
        <v>108655000</v>
      </c>
      <c r="H11" s="112">
        <f t="shared" si="0"/>
        <v>108418621.75096306</v>
      </c>
      <c r="I11" s="112">
        <f t="shared" si="0"/>
        <v>3990897.66</v>
      </c>
      <c r="J11" s="112">
        <f t="shared" si="0"/>
        <v>112409519.41096306</v>
      </c>
      <c r="K11" s="282">
        <f>SUM(K9:K10)</f>
        <v>-3754519.4109630585</v>
      </c>
      <c r="L11" s="11"/>
      <c r="M11" s="11"/>
      <c r="IS11" s="1"/>
      <c r="IT11" s="1"/>
      <c r="IU11" s="1"/>
      <c r="IV11" s="1"/>
    </row>
    <row r="12" spans="1:256" s="15" customFormat="1" ht="16.5" customHeight="1">
      <c r="A12" s="12"/>
      <c r="B12" s="12"/>
      <c r="C12" s="12"/>
      <c r="D12" s="13"/>
      <c r="E12" s="13"/>
      <c r="F12" s="13"/>
      <c r="G12" s="13"/>
      <c r="H12" s="13"/>
      <c r="I12" s="13"/>
      <c r="J12" s="13"/>
      <c r="K12" s="13"/>
      <c r="L12" s="13"/>
      <c r="M12" s="14"/>
      <c r="N12" s="14"/>
      <c r="IT12" s="16"/>
      <c r="IU12" s="16"/>
      <c r="IV12" s="16"/>
    </row>
    <row r="13" spans="1:11" s="19" customFormat="1" ht="16.5" customHeight="1">
      <c r="A13" s="17"/>
      <c r="B13" s="17"/>
      <c r="C13" s="17"/>
      <c r="D13" s="18"/>
      <c r="E13" s="18"/>
      <c r="F13" s="18"/>
      <c r="G13" s="18"/>
      <c r="H13" s="18"/>
      <c r="I13" s="18"/>
      <c r="J13" s="18"/>
      <c r="K13" s="18"/>
    </row>
    <row r="14" spans="1:11" s="19" customFormat="1" ht="16.5" customHeight="1" thickBot="1">
      <c r="A14" s="20" t="s">
        <v>15</v>
      </c>
      <c r="B14" s="20"/>
      <c r="C14" s="20"/>
      <c r="D14" s="62"/>
      <c r="E14" s="62"/>
      <c r="F14" s="62"/>
      <c r="G14" s="62"/>
      <c r="H14" s="62"/>
      <c r="I14" s="62"/>
      <c r="J14" s="18"/>
      <c r="K14" s="18"/>
    </row>
    <row r="15" spans="1:17" ht="12.75" customHeight="1" thickBot="1">
      <c r="A15" s="345" t="s">
        <v>16</v>
      </c>
      <c r="B15" s="345" t="s">
        <v>17</v>
      </c>
      <c r="C15" s="354" t="s">
        <v>18</v>
      </c>
      <c r="D15" s="355" t="s">
        <v>19</v>
      </c>
      <c r="E15" s="356"/>
      <c r="F15" s="356"/>
      <c r="G15" s="357"/>
      <c r="H15" s="346" t="s">
        <v>20</v>
      </c>
      <c r="I15" s="347"/>
      <c r="J15" s="347"/>
      <c r="K15" s="348"/>
      <c r="L15" s="124"/>
      <c r="M15" s="21"/>
      <c r="N15" s="21"/>
      <c r="O15" s="21"/>
      <c r="P15" s="21"/>
      <c r="Q15" s="22"/>
    </row>
    <row r="16" spans="1:16" ht="48" customHeight="1" thickBot="1">
      <c r="A16" s="345"/>
      <c r="B16" s="345"/>
      <c r="C16" s="354"/>
      <c r="D16" s="108" t="s">
        <v>174</v>
      </c>
      <c r="E16" s="109" t="s">
        <v>171</v>
      </c>
      <c r="F16" s="109" t="s">
        <v>175</v>
      </c>
      <c r="G16" s="110" t="s">
        <v>21</v>
      </c>
      <c r="H16" s="108" t="s">
        <v>174</v>
      </c>
      <c r="I16" s="109" t="s">
        <v>171</v>
      </c>
      <c r="J16" s="109" t="s">
        <v>175</v>
      </c>
      <c r="K16" s="111" t="s">
        <v>21</v>
      </c>
      <c r="L16" s="120" t="s">
        <v>176</v>
      </c>
      <c r="M16" s="119" t="s">
        <v>22</v>
      </c>
      <c r="N16" s="123" t="s">
        <v>23</v>
      </c>
      <c r="O16" s="121" t="s">
        <v>176</v>
      </c>
      <c r="P16" s="122" t="s">
        <v>24</v>
      </c>
    </row>
    <row r="17" spans="1:21" ht="23.25" customHeight="1" thickBot="1">
      <c r="A17" s="349" t="s">
        <v>25</v>
      </c>
      <c r="B17" s="340" t="s">
        <v>26</v>
      </c>
      <c r="C17" s="128" t="s">
        <v>27</v>
      </c>
      <c r="D17" s="132">
        <v>56200</v>
      </c>
      <c r="E17" s="133">
        <v>67400</v>
      </c>
      <c r="F17" s="133">
        <v>96400</v>
      </c>
      <c r="G17" s="134">
        <f>L36</f>
        <v>141828</v>
      </c>
      <c r="H17" s="135">
        <f>D17</f>
        <v>56200</v>
      </c>
      <c r="I17" s="136">
        <f>E17</f>
        <v>67400</v>
      </c>
      <c r="J17" s="136">
        <f>F17</f>
        <v>96400</v>
      </c>
      <c r="K17" s="137">
        <f>G17</f>
        <v>141828</v>
      </c>
      <c r="L17" s="138">
        <v>0</v>
      </c>
      <c r="M17" s="139"/>
      <c r="N17" s="140"/>
      <c r="O17" s="141"/>
      <c r="P17" s="142"/>
      <c r="Q17" s="59"/>
      <c r="R17" s="59"/>
      <c r="S17" s="59"/>
      <c r="T17" s="59"/>
      <c r="U17" s="59"/>
    </row>
    <row r="18" spans="1:21" ht="26.25" customHeight="1" thickBot="1">
      <c r="A18" s="349"/>
      <c r="B18" s="341"/>
      <c r="C18" s="129" t="s">
        <v>28</v>
      </c>
      <c r="D18" s="143">
        <v>21</v>
      </c>
      <c r="E18" s="144">
        <v>0</v>
      </c>
      <c r="F18" s="144">
        <v>1</v>
      </c>
      <c r="G18" s="145">
        <v>0</v>
      </c>
      <c r="H18" s="146">
        <v>21</v>
      </c>
      <c r="I18" s="144"/>
      <c r="J18" s="144">
        <v>1</v>
      </c>
      <c r="K18" s="147">
        <v>0</v>
      </c>
      <c r="L18" s="148">
        <v>0</v>
      </c>
      <c r="M18" s="149"/>
      <c r="N18" s="150"/>
      <c r="O18" s="151"/>
      <c r="P18" s="152"/>
      <c r="Q18" s="59"/>
      <c r="R18" s="59"/>
      <c r="S18" s="59"/>
      <c r="T18" s="59"/>
      <c r="U18" s="59"/>
    </row>
    <row r="19" spans="1:21" ht="26.25" customHeight="1" thickBot="1">
      <c r="A19" s="349"/>
      <c r="B19" s="342"/>
      <c r="C19" s="130" t="s">
        <v>29</v>
      </c>
      <c r="D19" s="153">
        <f>D17*D18</f>
        <v>1180200</v>
      </c>
      <c r="E19" s="154">
        <f>E17*E18</f>
        <v>0</v>
      </c>
      <c r="F19" s="154">
        <f>F17*F18</f>
        <v>96400</v>
      </c>
      <c r="G19" s="155">
        <f>G17*G18</f>
        <v>0</v>
      </c>
      <c r="H19" s="156">
        <f>H17*H18*10</f>
        <v>11802000</v>
      </c>
      <c r="I19" s="154">
        <f>I17*I18*10</f>
        <v>0</v>
      </c>
      <c r="J19" s="154">
        <f>J17*J18*10</f>
        <v>964000</v>
      </c>
      <c r="K19" s="157">
        <f>K17*K18*10</f>
        <v>0</v>
      </c>
      <c r="L19" s="158">
        <f>+L18*L17</f>
        <v>0</v>
      </c>
      <c r="M19" s="159">
        <f>SUM(D19:G19)</f>
        <v>1276600</v>
      </c>
      <c r="N19" s="160">
        <f>SUM(H19:K19)</f>
        <v>12766000</v>
      </c>
      <c r="O19" s="161">
        <f>+L19</f>
        <v>0</v>
      </c>
      <c r="P19" s="162">
        <f>SUM(M19:O19)</f>
        <v>14042600</v>
      </c>
      <c r="Q19" s="59"/>
      <c r="R19" s="59"/>
      <c r="S19" s="59"/>
      <c r="T19" s="59"/>
      <c r="U19" s="59"/>
    </row>
    <row r="20" spans="1:21" ht="24" customHeight="1" thickBot="1">
      <c r="A20" s="349"/>
      <c r="B20" s="343" t="s">
        <v>253</v>
      </c>
      <c r="C20" s="128" t="s">
        <v>27</v>
      </c>
      <c r="D20" s="163">
        <v>93700</v>
      </c>
      <c r="E20" s="133">
        <v>112400</v>
      </c>
      <c r="F20" s="133">
        <v>157800</v>
      </c>
      <c r="G20" s="134">
        <v>250900</v>
      </c>
      <c r="H20" s="135">
        <f>D20</f>
        <v>93700</v>
      </c>
      <c r="I20" s="136">
        <f>E20</f>
        <v>112400</v>
      </c>
      <c r="J20" s="136">
        <f>F20</f>
        <v>157800</v>
      </c>
      <c r="K20" s="136">
        <f>G20</f>
        <v>250900</v>
      </c>
      <c r="L20" s="164">
        <v>88400</v>
      </c>
      <c r="M20" s="165"/>
      <c r="N20" s="166"/>
      <c r="O20" s="167"/>
      <c r="P20" s="168"/>
      <c r="Q20" s="59"/>
      <c r="R20" s="59"/>
      <c r="S20" s="59"/>
      <c r="T20" s="59"/>
      <c r="U20" s="59"/>
    </row>
    <row r="21" spans="1:21" ht="25.5" customHeight="1" thickBot="1">
      <c r="A21" s="349"/>
      <c r="B21" s="343"/>
      <c r="C21" s="129" t="s">
        <v>28</v>
      </c>
      <c r="D21" s="146">
        <v>69</v>
      </c>
      <c r="E21" s="144">
        <v>14</v>
      </c>
      <c r="F21" s="144"/>
      <c r="G21" s="145">
        <v>0</v>
      </c>
      <c r="H21" s="146">
        <v>69</v>
      </c>
      <c r="I21" s="144">
        <v>14</v>
      </c>
      <c r="J21" s="144"/>
      <c r="K21" s="169">
        <v>0</v>
      </c>
      <c r="L21" s="148">
        <v>20</v>
      </c>
      <c r="M21" s="170"/>
      <c r="N21" s="171"/>
      <c r="O21" s="172"/>
      <c r="P21" s="173"/>
      <c r="Q21" s="59"/>
      <c r="R21" s="59"/>
      <c r="S21" s="59"/>
      <c r="T21" s="59"/>
      <c r="U21" s="59"/>
    </row>
    <row r="22" spans="1:21" ht="26.25" customHeight="1" thickBot="1">
      <c r="A22" s="349"/>
      <c r="B22" s="343"/>
      <c r="C22" s="130" t="s">
        <v>29</v>
      </c>
      <c r="D22" s="156">
        <f aca="true" t="shared" si="1" ref="D22:K22">D21*D20</f>
        <v>6465300</v>
      </c>
      <c r="E22" s="154">
        <f t="shared" si="1"/>
        <v>1573600</v>
      </c>
      <c r="F22" s="154">
        <f t="shared" si="1"/>
        <v>0</v>
      </c>
      <c r="G22" s="155">
        <f t="shared" si="1"/>
        <v>0</v>
      </c>
      <c r="H22" s="156">
        <f>H21*H20*10</f>
        <v>64653000</v>
      </c>
      <c r="I22" s="154">
        <f>I21*I20*10</f>
        <v>15736000</v>
      </c>
      <c r="J22" s="154">
        <f t="shared" si="1"/>
        <v>0</v>
      </c>
      <c r="K22" s="174">
        <f t="shared" si="1"/>
        <v>0</v>
      </c>
      <c r="L22" s="175">
        <f>+L21*L20</f>
        <v>1768000</v>
      </c>
      <c r="M22" s="159">
        <f>SUM(D22:G22)</f>
        <v>8038900</v>
      </c>
      <c r="N22" s="160">
        <f>SUM(H22:K22)</f>
        <v>80389000</v>
      </c>
      <c r="O22" s="161">
        <f>+L22</f>
        <v>1768000</v>
      </c>
      <c r="P22" s="162">
        <f>SUM(M22:O22)</f>
        <v>90195900</v>
      </c>
      <c r="Q22" s="59"/>
      <c r="R22" s="59"/>
      <c r="S22" s="59"/>
      <c r="T22" s="59"/>
      <c r="U22" s="59"/>
    </row>
    <row r="23" spans="1:21" ht="26.25" customHeight="1" thickBot="1">
      <c r="A23" s="349"/>
      <c r="B23" s="343" t="s">
        <v>254</v>
      </c>
      <c r="C23" s="128" t="s">
        <v>27</v>
      </c>
      <c r="D23" s="163">
        <v>80300</v>
      </c>
      <c r="E23" s="133">
        <v>96400</v>
      </c>
      <c r="F23" s="133">
        <v>131100</v>
      </c>
      <c r="G23" s="134">
        <v>204600</v>
      </c>
      <c r="H23" s="135">
        <f>D23</f>
        <v>80300</v>
      </c>
      <c r="I23" s="136">
        <f>E23</f>
        <v>96400</v>
      </c>
      <c r="J23" s="136">
        <f>F23</f>
        <v>131100</v>
      </c>
      <c r="K23" s="136">
        <f>G23</f>
        <v>204600</v>
      </c>
      <c r="L23" s="164">
        <v>0</v>
      </c>
      <c r="M23" s="165"/>
      <c r="N23" s="166"/>
      <c r="O23" s="167"/>
      <c r="P23" s="168"/>
      <c r="Q23" s="59"/>
      <c r="R23" s="59"/>
      <c r="S23" s="59"/>
      <c r="T23" s="59"/>
      <c r="U23" s="59"/>
    </row>
    <row r="24" spans="1:16" ht="24.75" customHeight="1" thickBot="1">
      <c r="A24" s="349"/>
      <c r="B24" s="343"/>
      <c r="C24" s="129" t="s">
        <v>28</v>
      </c>
      <c r="D24" s="146">
        <v>5</v>
      </c>
      <c r="E24" s="144">
        <v>0</v>
      </c>
      <c r="F24" s="144">
        <v>0</v>
      </c>
      <c r="G24" s="145">
        <v>0</v>
      </c>
      <c r="H24" s="146">
        <v>5</v>
      </c>
      <c r="I24" s="144">
        <v>0</v>
      </c>
      <c r="J24" s="144">
        <v>0</v>
      </c>
      <c r="K24" s="169">
        <v>0</v>
      </c>
      <c r="L24" s="176">
        <v>0</v>
      </c>
      <c r="M24" s="170"/>
      <c r="N24" s="171"/>
      <c r="O24" s="172"/>
      <c r="P24" s="173"/>
    </row>
    <row r="25" spans="1:16" ht="26.25" customHeight="1" thickBot="1">
      <c r="A25" s="349"/>
      <c r="B25" s="343"/>
      <c r="C25" s="130" t="s">
        <v>29</v>
      </c>
      <c r="D25" s="156">
        <f aca="true" t="shared" si="2" ref="D25:K25">D24*D23</f>
        <v>401500</v>
      </c>
      <c r="E25" s="154">
        <f t="shared" si="2"/>
        <v>0</v>
      </c>
      <c r="F25" s="154">
        <f t="shared" si="2"/>
        <v>0</v>
      </c>
      <c r="G25" s="155">
        <f t="shared" si="2"/>
        <v>0</v>
      </c>
      <c r="H25" s="156">
        <f>H24*H23*10</f>
        <v>4015000</v>
      </c>
      <c r="I25" s="154">
        <f t="shared" si="2"/>
        <v>0</v>
      </c>
      <c r="J25" s="154">
        <f>J24*J23*10</f>
        <v>0</v>
      </c>
      <c r="K25" s="174">
        <f t="shared" si="2"/>
        <v>0</v>
      </c>
      <c r="L25" s="158">
        <f>+L24*L23</f>
        <v>0</v>
      </c>
      <c r="M25" s="159">
        <f>SUM(D25:G25)</f>
        <v>401500</v>
      </c>
      <c r="N25" s="160">
        <f>SUM(H25:K25)</f>
        <v>4015000</v>
      </c>
      <c r="O25" s="161">
        <f>+L25</f>
        <v>0</v>
      </c>
      <c r="P25" s="162">
        <f>SUM(M25:O25)</f>
        <v>4416500</v>
      </c>
    </row>
    <row r="26" spans="1:16" s="23" customFormat="1" ht="29.25" customHeight="1" thickBot="1">
      <c r="A26" s="349"/>
      <c r="B26" s="131" t="s">
        <v>32</v>
      </c>
      <c r="C26" s="127" t="s">
        <v>33</v>
      </c>
      <c r="D26" s="177">
        <f aca="true" t="shared" si="3" ref="D26:K26">D19+D22+D25</f>
        <v>8047000</v>
      </c>
      <c r="E26" s="178">
        <f t="shared" si="3"/>
        <v>1573600</v>
      </c>
      <c r="F26" s="178">
        <f t="shared" si="3"/>
        <v>96400</v>
      </c>
      <c r="G26" s="179">
        <f t="shared" si="3"/>
        <v>0</v>
      </c>
      <c r="H26" s="177">
        <f t="shared" si="3"/>
        <v>80470000</v>
      </c>
      <c r="I26" s="178">
        <f>I19+I22+I25*10</f>
        <v>15736000</v>
      </c>
      <c r="J26" s="178">
        <f t="shared" si="3"/>
        <v>964000</v>
      </c>
      <c r="K26" s="180">
        <f t="shared" si="3"/>
        <v>0</v>
      </c>
      <c r="L26" s="181">
        <f>+L25+L22+L19</f>
        <v>1768000</v>
      </c>
      <c r="M26" s="182">
        <f>M25+M22+M19</f>
        <v>9717000</v>
      </c>
      <c r="N26" s="183">
        <f>N25+N22+N19</f>
        <v>97170000</v>
      </c>
      <c r="O26" s="183">
        <f>+O19+O22+O25</f>
        <v>1768000</v>
      </c>
      <c r="P26" s="183">
        <f>P25+P22+P19</f>
        <v>108655000</v>
      </c>
    </row>
    <row r="28" spans="4:5" ht="13.5">
      <c r="D28" s="40"/>
      <c r="E28" s="40"/>
    </row>
    <row r="29" spans="2:6" ht="23.25">
      <c r="B29" s="63"/>
      <c r="C29" s="63"/>
      <c r="D29" s="40"/>
      <c r="E29" s="40"/>
      <c r="F29" s="40"/>
    </row>
    <row r="32" ht="14.25" thickBot="1"/>
    <row r="33" spans="2:18" ht="30" customHeight="1" thickBot="1">
      <c r="B33" s="332" t="s">
        <v>252</v>
      </c>
      <c r="C33" s="333"/>
      <c r="D33" s="333"/>
      <c r="E33" s="333"/>
      <c r="F33" s="334"/>
      <c r="H33" s="332" t="s">
        <v>256</v>
      </c>
      <c r="I33" s="333"/>
      <c r="J33" s="333"/>
      <c r="K33" s="333"/>
      <c r="L33" s="334"/>
      <c r="N33" s="332" t="s">
        <v>295</v>
      </c>
      <c r="O33" s="333"/>
      <c r="P33" s="333"/>
      <c r="Q33" s="333"/>
      <c r="R33" s="334"/>
    </row>
    <row r="34" spans="2:18" ht="30" customHeight="1" thickBot="1">
      <c r="B34" s="335" t="s">
        <v>19</v>
      </c>
      <c r="C34" s="336"/>
      <c r="D34" s="336"/>
      <c r="E34" s="336"/>
      <c r="F34" s="337"/>
      <c r="H34" s="335" t="s">
        <v>19</v>
      </c>
      <c r="I34" s="336"/>
      <c r="J34" s="336"/>
      <c r="K34" s="336"/>
      <c r="L34" s="337"/>
      <c r="N34" s="335" t="s">
        <v>19</v>
      </c>
      <c r="O34" s="336"/>
      <c r="P34" s="336"/>
      <c r="Q34" s="336"/>
      <c r="R34" s="337"/>
    </row>
    <row r="35" spans="2:18" ht="45" customHeight="1">
      <c r="B35" s="115" t="s">
        <v>248</v>
      </c>
      <c r="C35" s="116" t="s">
        <v>235</v>
      </c>
      <c r="D35" s="117" t="s">
        <v>171</v>
      </c>
      <c r="E35" s="117" t="s">
        <v>236</v>
      </c>
      <c r="F35" s="118" t="s">
        <v>21</v>
      </c>
      <c r="G35" s="3" t="s">
        <v>311</v>
      </c>
      <c r="H35" s="115" t="s">
        <v>248</v>
      </c>
      <c r="I35" s="116" t="s">
        <v>235</v>
      </c>
      <c r="J35" s="117" t="s">
        <v>171</v>
      </c>
      <c r="K35" s="117" t="s">
        <v>236</v>
      </c>
      <c r="L35" s="118" t="s">
        <v>21</v>
      </c>
      <c r="N35" s="115" t="s">
        <v>248</v>
      </c>
      <c r="O35" s="116" t="s">
        <v>235</v>
      </c>
      <c r="P35" s="117" t="s">
        <v>171</v>
      </c>
      <c r="Q35" s="117" t="s">
        <v>236</v>
      </c>
      <c r="R35" s="118" t="s">
        <v>21</v>
      </c>
    </row>
    <row r="36" spans="2:18" ht="45" customHeight="1">
      <c r="B36" s="75" t="s">
        <v>251</v>
      </c>
      <c r="C36" s="71">
        <v>53000</v>
      </c>
      <c r="D36" s="71">
        <v>63600</v>
      </c>
      <c r="E36" s="71">
        <v>90900</v>
      </c>
      <c r="F36" s="72">
        <v>133800</v>
      </c>
      <c r="G36" s="301">
        <f>I36-C36</f>
        <v>3180</v>
      </c>
      <c r="H36" s="75" t="s">
        <v>251</v>
      </c>
      <c r="I36" s="71">
        <f>C36*O8</f>
        <v>56180</v>
      </c>
      <c r="J36" s="71">
        <f>D36*O8</f>
        <v>67416</v>
      </c>
      <c r="K36" s="71">
        <f>E36*O8</f>
        <v>96354</v>
      </c>
      <c r="L36" s="72">
        <f>F36*O8</f>
        <v>141828</v>
      </c>
      <c r="N36" s="75" t="s">
        <v>251</v>
      </c>
      <c r="O36" s="259">
        <f aca="true" t="shared" si="4" ref="O36:R38">(I36-C36)/C36</f>
        <v>0.06</v>
      </c>
      <c r="P36" s="259">
        <f t="shared" si="4"/>
        <v>0.06</v>
      </c>
      <c r="Q36" s="259">
        <f t="shared" si="4"/>
        <v>0.06</v>
      </c>
      <c r="R36" s="260">
        <f t="shared" si="4"/>
        <v>0.06</v>
      </c>
    </row>
    <row r="37" spans="2:18" ht="45" customHeight="1">
      <c r="B37" s="75" t="s">
        <v>250</v>
      </c>
      <c r="C37" s="71">
        <v>88400</v>
      </c>
      <c r="D37" s="71">
        <v>106000</v>
      </c>
      <c r="E37" s="71">
        <v>148900</v>
      </c>
      <c r="F37" s="72">
        <v>236700</v>
      </c>
      <c r="G37" s="301">
        <f>I37-C37</f>
        <v>5304</v>
      </c>
      <c r="H37" s="75" t="s">
        <v>250</v>
      </c>
      <c r="I37" s="71">
        <f>C37*O8</f>
        <v>93704</v>
      </c>
      <c r="J37" s="71">
        <f>D37*O8</f>
        <v>112360</v>
      </c>
      <c r="K37" s="71">
        <f>E37*O8</f>
        <v>157834</v>
      </c>
      <c r="L37" s="72">
        <f>F37*O8</f>
        <v>250902</v>
      </c>
      <c r="N37" s="75" t="s">
        <v>250</v>
      </c>
      <c r="O37" s="259">
        <f t="shared" si="4"/>
        <v>0.06</v>
      </c>
      <c r="P37" s="259">
        <f t="shared" si="4"/>
        <v>0.06</v>
      </c>
      <c r="Q37" s="259">
        <f t="shared" si="4"/>
        <v>0.06</v>
      </c>
      <c r="R37" s="260">
        <f t="shared" si="4"/>
        <v>0.06</v>
      </c>
    </row>
    <row r="38" spans="2:18" ht="45" customHeight="1" thickBot="1">
      <c r="B38" s="69" t="s">
        <v>249</v>
      </c>
      <c r="C38" s="73">
        <v>75800</v>
      </c>
      <c r="D38" s="73">
        <v>90900</v>
      </c>
      <c r="E38" s="73">
        <v>123700</v>
      </c>
      <c r="F38" s="74">
        <v>193000</v>
      </c>
      <c r="G38" s="301">
        <f>I38-C38</f>
        <v>4548</v>
      </c>
      <c r="H38" s="69" t="s">
        <v>249</v>
      </c>
      <c r="I38" s="73">
        <f>C38*O8</f>
        <v>80348</v>
      </c>
      <c r="J38" s="73">
        <f>D38*O8</f>
        <v>96354</v>
      </c>
      <c r="K38" s="73">
        <f>E38*O8</f>
        <v>131122</v>
      </c>
      <c r="L38" s="74">
        <f>F38*O8</f>
        <v>204580</v>
      </c>
      <c r="N38" s="69" t="s">
        <v>249</v>
      </c>
      <c r="O38" s="261">
        <f t="shared" si="4"/>
        <v>0.06</v>
      </c>
      <c r="P38" s="261">
        <f t="shared" si="4"/>
        <v>0.06</v>
      </c>
      <c r="Q38" s="261">
        <f t="shared" si="4"/>
        <v>0.06</v>
      </c>
      <c r="R38" s="262">
        <f t="shared" si="4"/>
        <v>0.06</v>
      </c>
    </row>
    <row r="39" ht="13.5">
      <c r="G39" s="1">
        <f>SUM(G36:G38)/3</f>
        <v>4344</v>
      </c>
    </row>
  </sheetData>
  <sheetProtection selectLockedCells="1" selectUnlockedCells="1"/>
  <mergeCells count="25">
    <mergeCell ref="H34:L34"/>
    <mergeCell ref="B33:F33"/>
    <mergeCell ref="B34:F34"/>
    <mergeCell ref="B15:B16"/>
    <mergeCell ref="C15:C16"/>
    <mergeCell ref="D15:G15"/>
    <mergeCell ref="B23:B25"/>
    <mergeCell ref="A17:A26"/>
    <mergeCell ref="A10:C10"/>
    <mergeCell ref="A1:D1"/>
    <mergeCell ref="A2:D2"/>
    <mergeCell ref="A3:D3"/>
    <mergeCell ref="I5:J5"/>
    <mergeCell ref="A8:C8"/>
    <mergeCell ref="A9:C9"/>
    <mergeCell ref="N33:R33"/>
    <mergeCell ref="N34:R34"/>
    <mergeCell ref="M8:N8"/>
    <mergeCell ref="B17:B19"/>
    <mergeCell ref="B20:B22"/>
    <mergeCell ref="A11:C11"/>
    <mergeCell ref="A15:A16"/>
    <mergeCell ref="H33:L33"/>
    <mergeCell ref="M9:N9"/>
    <mergeCell ref="H15:K15"/>
  </mergeCells>
  <printOptions/>
  <pageMargins left="0.03937007874015748" right="0.03937007874015748" top="0.7480314960629921" bottom="0.7480314960629921" header="0.31496062992125984" footer="0.31496062992125984"/>
  <pageSetup fitToHeight="0" horizontalDpi="600" verticalDpi="600" orientation="landscape" paperSize="5" scale="60" r:id="rId1"/>
  <headerFooter alignWithMargins="0">
    <oddHeader>&amp;LSEPT - 2004&amp;CDIRECTIVA D.B.S.A.
ORDINARIA&amp;R01-BS/0305/04</oddHeader>
    <oddFooter>&amp;LDEPARTAMENTO
RRHH Y GESTION&amp;C01-BS&amp;RPAG &amp;P</oddFooter>
  </headerFooter>
  <ignoredErrors>
    <ignoredError sqref="F9 O26 H25" formula="1"/>
  </ignoredErrors>
</worksheet>
</file>

<file path=xl/worksheets/sheet3.xml><?xml version="1.0" encoding="utf-8"?>
<worksheet xmlns="http://schemas.openxmlformats.org/spreadsheetml/2006/main" xmlns:r="http://schemas.openxmlformats.org/officeDocument/2006/relationships">
  <sheetPr codeName="Hoja1">
    <outlinePr summaryBelow="0"/>
    <pageSetUpPr fitToPage="1"/>
  </sheetPr>
  <dimension ref="A1:Q97"/>
  <sheetViews>
    <sheetView showGridLines="0" zoomScale="90" zoomScaleNormal="90" zoomScalePageLayoutView="0" workbookViewId="0" topLeftCell="C69">
      <selection activeCell="H57" sqref="H57"/>
    </sheetView>
  </sheetViews>
  <sheetFormatPr defaultColWidth="11.421875" defaultRowHeight="12.75" outlineLevelRow="1"/>
  <cols>
    <col min="1" max="1" width="19.28125" style="1" customWidth="1"/>
    <col min="2" max="2" width="21.140625" style="1" customWidth="1"/>
    <col min="3" max="3" width="66.421875" style="1" customWidth="1"/>
    <col min="4" max="4" width="12.57421875" style="1" customWidth="1"/>
    <col min="5" max="5" width="11.57421875" style="1" customWidth="1"/>
    <col min="6" max="6" width="12.140625" style="24" customWidth="1"/>
    <col min="7" max="7" width="15.28125" style="4" bestFit="1" customWidth="1"/>
    <col min="8" max="8" width="16.57421875" style="4" customWidth="1"/>
    <col min="9" max="9" width="11.421875" style="81" customWidth="1"/>
    <col min="10" max="11" width="11.421875" style="1" customWidth="1"/>
    <col min="12" max="12" width="20.421875" style="1" bestFit="1" customWidth="1"/>
    <col min="13" max="13" width="7.8515625" style="1" bestFit="1" customWidth="1"/>
    <col min="14" max="14" width="13.28125" style="1" bestFit="1" customWidth="1"/>
    <col min="15" max="15" width="11.421875" style="1" customWidth="1"/>
    <col min="16" max="16" width="22.8515625" style="1" customWidth="1"/>
    <col min="17" max="17" width="17.28125" style="1" customWidth="1"/>
    <col min="18" max="16384" width="11.421875" style="1" customWidth="1"/>
  </cols>
  <sheetData>
    <row r="1" spans="2:8" ht="13.5">
      <c r="B1" s="329" t="s">
        <v>0</v>
      </c>
      <c r="C1" s="329"/>
      <c r="D1" s="329"/>
      <c r="E1" s="329"/>
      <c r="F1" s="329"/>
      <c r="G1" s="329"/>
      <c r="H1" s="1"/>
    </row>
    <row r="2" spans="2:8" ht="13.5">
      <c r="B2" s="329" t="s">
        <v>34</v>
      </c>
      <c r="C2" s="329"/>
      <c r="D2" s="329"/>
      <c r="E2" s="329"/>
      <c r="F2" s="329"/>
      <c r="G2" s="329"/>
      <c r="H2" s="1"/>
    </row>
    <row r="3" spans="2:8" ht="13.5">
      <c r="B3" s="329" t="s">
        <v>241</v>
      </c>
      <c r="C3" s="329"/>
      <c r="D3" s="329"/>
      <c r="E3" s="329"/>
      <c r="F3" s="329"/>
      <c r="G3" s="329"/>
      <c r="H3" s="1"/>
    </row>
    <row r="4" spans="2:3" ht="6.75" customHeight="1">
      <c r="B4" s="4"/>
      <c r="C4" s="4"/>
    </row>
    <row r="5" spans="2:9" s="25" customFormat="1" ht="15.75" thickBot="1">
      <c r="B5" s="26" t="s">
        <v>35</v>
      </c>
      <c r="C5" s="26"/>
      <c r="D5" s="367" t="str">
        <f>'Ap. 2 Ingresos C. Benef.'!$I$5</f>
        <v>BIENIQUE</v>
      </c>
      <c r="E5" s="367"/>
      <c r="F5" s="27"/>
      <c r="G5" s="27"/>
      <c r="H5" s="27"/>
      <c r="I5" s="82"/>
    </row>
    <row r="6" spans="1:12" ht="15" customHeight="1" thickBot="1">
      <c r="A6" s="12"/>
      <c r="B6" s="12"/>
      <c r="C6" s="368"/>
      <c r="D6" s="368"/>
      <c r="J6" s="66" t="s">
        <v>232</v>
      </c>
      <c r="K6" s="67"/>
      <c r="L6" s="68">
        <v>3.2</v>
      </c>
    </row>
    <row r="7" spans="4:8" ht="13.5">
      <c r="D7" s="226" t="s">
        <v>36</v>
      </c>
      <c r="E7" s="369" t="s">
        <v>37</v>
      </c>
      <c r="F7" s="369"/>
      <c r="G7" s="228" t="s">
        <v>38</v>
      </c>
      <c r="H7" s="231" t="s">
        <v>39</v>
      </c>
    </row>
    <row r="8" spans="1:8" ht="25.5" customHeight="1" thickBot="1">
      <c r="A8" s="219" t="s">
        <v>40</v>
      </c>
      <c r="B8" s="370" t="s">
        <v>41</v>
      </c>
      <c r="C8" s="370"/>
      <c r="D8" s="227" t="s">
        <v>42</v>
      </c>
      <c r="E8" s="229" t="s">
        <v>43</v>
      </c>
      <c r="F8" s="229" t="s">
        <v>44</v>
      </c>
      <c r="G8" s="230" t="s">
        <v>45</v>
      </c>
      <c r="H8" s="232" t="s">
        <v>45</v>
      </c>
    </row>
    <row r="9" spans="1:17" ht="14.25" thickBot="1">
      <c r="A9" s="349" t="str">
        <f>'Ap. 2 Ingresos C. Benef.'!$A$17</f>
        <v>JARDIN INFANTIL "PEQUEÑOS HEROES"</v>
      </c>
      <c r="B9" s="371" t="s">
        <v>46</v>
      </c>
      <c r="C9" s="371"/>
      <c r="D9" s="220">
        <f>SUM(D19:D20,D17,D11:D15)</f>
        <v>77978287.934444</v>
      </c>
      <c r="E9" s="221">
        <f>SUM(E19:E20,E17,E11:E15)</f>
        <v>350000</v>
      </c>
      <c r="F9" s="222"/>
      <c r="G9" s="221">
        <f>SUM(G19:G20,G17,G11:G15)</f>
        <v>1750000</v>
      </c>
      <c r="H9" s="223">
        <f>SUM(H19:H20,H17,H11:H15)</f>
        <v>65919651.702963054</v>
      </c>
      <c r="L9" s="364" t="s">
        <v>312</v>
      </c>
      <c r="M9" s="365"/>
      <c r="N9" s="366"/>
      <c r="P9" s="254" t="s">
        <v>220</v>
      </c>
      <c r="Q9" s="51">
        <f>SUELDOS!AN23</f>
        <v>2878000</v>
      </c>
    </row>
    <row r="10" spans="1:14" ht="14.25" outlineLevel="1" thickBot="1">
      <c r="A10" s="349"/>
      <c r="B10" s="372" t="s">
        <v>47</v>
      </c>
      <c r="C10" s="372"/>
      <c r="D10" s="373"/>
      <c r="E10" s="373"/>
      <c r="F10" s="373"/>
      <c r="G10" s="373"/>
      <c r="H10" s="373"/>
      <c r="L10" s="48" t="s">
        <v>219</v>
      </c>
      <c r="M10" s="76">
        <v>1</v>
      </c>
      <c r="N10" s="86">
        <f>+SUELDOS!AQ10</f>
        <v>10036177.459344</v>
      </c>
    </row>
    <row r="11" spans="1:17" ht="14.25" outlineLevel="1" thickBot="1">
      <c r="A11" s="349"/>
      <c r="B11" s="359" t="s">
        <v>48</v>
      </c>
      <c r="C11" s="359"/>
      <c r="D11" s="235">
        <v>68617495</v>
      </c>
      <c r="E11" s="243">
        <v>0</v>
      </c>
      <c r="F11" s="248">
        <v>0</v>
      </c>
      <c r="G11" s="237">
        <f>E11*F11</f>
        <v>0</v>
      </c>
      <c r="H11" s="233">
        <f>N17</f>
        <v>54808858.76851905</v>
      </c>
      <c r="L11" s="48" t="s">
        <v>221</v>
      </c>
      <c r="M11" s="76">
        <v>6</v>
      </c>
      <c r="N11" s="86">
        <f>SUELDOS!AE28</f>
        <v>29138085.788000003</v>
      </c>
      <c r="P11" s="360" t="s">
        <v>223</v>
      </c>
      <c r="Q11" s="361"/>
    </row>
    <row r="12" spans="1:17" ht="14.25" outlineLevel="1" thickBot="1">
      <c r="A12" s="349"/>
      <c r="B12" s="358" t="s">
        <v>49</v>
      </c>
      <c r="C12" s="358"/>
      <c r="D12" s="235">
        <f>SUELDOS!AJ23</f>
        <v>2700792.9344440005</v>
      </c>
      <c r="E12" s="243">
        <v>0</v>
      </c>
      <c r="F12" s="248">
        <v>0</v>
      </c>
      <c r="G12" s="237">
        <f>E12*F12</f>
        <v>0</v>
      </c>
      <c r="H12" s="233">
        <f>SUELDOS!AJ23</f>
        <v>2700792.9344440005</v>
      </c>
      <c r="L12" s="48" t="s">
        <v>222</v>
      </c>
      <c r="M12" s="76">
        <v>2</v>
      </c>
      <c r="N12" s="61">
        <f>+SUELDOS!AQ12+SUELDOS!AQ20</f>
        <v>10035076.006508</v>
      </c>
      <c r="P12" s="52" t="s">
        <v>225</v>
      </c>
      <c r="Q12" s="52">
        <f>SUELDOS!AK24</f>
        <v>1254000</v>
      </c>
    </row>
    <row r="13" spans="1:17" ht="14.25" outlineLevel="1" thickBot="1">
      <c r="A13" s="349"/>
      <c r="B13" s="359" t="s">
        <v>233</v>
      </c>
      <c r="C13" s="359"/>
      <c r="D13" s="235">
        <f>Q9</f>
        <v>2878000</v>
      </c>
      <c r="E13" s="243">
        <v>0</v>
      </c>
      <c r="F13" s="248">
        <v>0</v>
      </c>
      <c r="G13" s="237">
        <f>E13*F13</f>
        <v>0</v>
      </c>
      <c r="H13" s="233">
        <f>G13+D13</f>
        <v>2878000</v>
      </c>
      <c r="L13" s="48" t="s">
        <v>224</v>
      </c>
      <c r="M13" s="76">
        <v>2</v>
      </c>
      <c r="N13" s="86">
        <f>+SUELDOS!AQ11+SUELDOS!AQ18</f>
        <v>7411382.6144528</v>
      </c>
      <c r="P13" s="52" t="s">
        <v>205</v>
      </c>
      <c r="Q13" s="52">
        <f>SUELDOS!AM23</f>
        <v>1178000</v>
      </c>
    </row>
    <row r="14" spans="1:17" ht="14.25" outlineLevel="1" thickBot="1">
      <c r="A14" s="349"/>
      <c r="B14" s="358" t="s">
        <v>234</v>
      </c>
      <c r="C14" s="358"/>
      <c r="D14" s="235">
        <f>Q14</f>
        <v>2432000</v>
      </c>
      <c r="E14" s="243">
        <v>0</v>
      </c>
      <c r="F14" s="248">
        <v>0</v>
      </c>
      <c r="G14" s="237">
        <f>E14*F14</f>
        <v>0</v>
      </c>
      <c r="H14" s="233">
        <f>G14+D14</f>
        <v>2432000</v>
      </c>
      <c r="L14" s="53" t="s">
        <v>226</v>
      </c>
      <c r="M14" s="54"/>
      <c r="N14" s="65">
        <f>+N15/12</f>
        <v>4718393.4890254</v>
      </c>
      <c r="P14" s="51" t="s">
        <v>188</v>
      </c>
      <c r="Q14" s="55">
        <f>SUM(Q12:Q13)</f>
        <v>2432000</v>
      </c>
    </row>
    <row r="15" spans="1:14" ht="14.25" outlineLevel="1" thickBot="1">
      <c r="A15" s="349"/>
      <c r="B15" s="359" t="s">
        <v>50</v>
      </c>
      <c r="C15" s="359"/>
      <c r="D15" s="235">
        <v>0</v>
      </c>
      <c r="E15" s="243">
        <v>0</v>
      </c>
      <c r="F15" s="248">
        <v>0</v>
      </c>
      <c r="G15" s="237">
        <f>E15*F15</f>
        <v>0</v>
      </c>
      <c r="H15" s="233">
        <f>G15+D15</f>
        <v>0</v>
      </c>
      <c r="L15" s="53" t="s">
        <v>227</v>
      </c>
      <c r="M15" s="64"/>
      <c r="N15" s="44">
        <f>SUM(N10:N13)</f>
        <v>56620721.868304804</v>
      </c>
    </row>
    <row r="16" spans="1:14" ht="14.25" outlineLevel="1" thickBot="1">
      <c r="A16" s="349"/>
      <c r="B16" s="363" t="s">
        <v>51</v>
      </c>
      <c r="C16" s="363"/>
      <c r="D16" s="362"/>
      <c r="E16" s="362"/>
      <c r="F16" s="362"/>
      <c r="G16" s="362"/>
      <c r="H16" s="362"/>
      <c r="I16" s="83"/>
      <c r="L16" s="53" t="s">
        <v>228</v>
      </c>
      <c r="M16" s="54"/>
      <c r="N16" s="87">
        <f>+L6</f>
        <v>3.2</v>
      </c>
    </row>
    <row r="17" spans="1:14" ht="14.25" outlineLevel="1" thickBot="1">
      <c r="A17" s="349"/>
      <c r="B17" s="359" t="s">
        <v>52</v>
      </c>
      <c r="C17" s="359"/>
      <c r="D17" s="235">
        <v>1200000</v>
      </c>
      <c r="E17" s="243">
        <v>0</v>
      </c>
      <c r="F17" s="248">
        <v>0</v>
      </c>
      <c r="G17" s="237">
        <f>E17*F17</f>
        <v>0</v>
      </c>
      <c r="H17" s="233">
        <f>+D17</f>
        <v>1200000</v>
      </c>
      <c r="I17" s="83" t="s">
        <v>258</v>
      </c>
      <c r="L17" s="56" t="s">
        <v>229</v>
      </c>
      <c r="M17" s="57"/>
      <c r="N17" s="58">
        <f>(+N10+N11+N12+N13)-(N15*0.032)</f>
        <v>54808858.76851905</v>
      </c>
    </row>
    <row r="18" spans="1:17" ht="14.25" outlineLevel="1" thickBot="1">
      <c r="A18" s="349"/>
      <c r="B18" s="363" t="s">
        <v>53</v>
      </c>
      <c r="C18" s="363"/>
      <c r="D18" s="362"/>
      <c r="E18" s="362"/>
      <c r="F18" s="362"/>
      <c r="G18" s="362"/>
      <c r="H18" s="362"/>
      <c r="I18" s="83"/>
      <c r="Q18" s="49">
        <f>+Q14+Q9+N17</f>
        <v>60118858.76851905</v>
      </c>
    </row>
    <row r="19" spans="1:9" ht="14.25" outlineLevel="1" thickBot="1">
      <c r="A19" s="349"/>
      <c r="B19" s="358" t="s">
        <v>54</v>
      </c>
      <c r="C19" s="358"/>
      <c r="D19" s="235">
        <v>150000</v>
      </c>
      <c r="E19" s="243">
        <v>0</v>
      </c>
      <c r="F19" s="248">
        <v>0</v>
      </c>
      <c r="G19" s="237">
        <f>E19*F19</f>
        <v>0</v>
      </c>
      <c r="H19" s="233">
        <f>+D19</f>
        <v>150000</v>
      </c>
      <c r="I19" s="83" t="s">
        <v>271</v>
      </c>
    </row>
    <row r="20" spans="1:13" ht="14.25" outlineLevel="1" thickBot="1">
      <c r="A20" s="349"/>
      <c r="B20" s="359" t="s">
        <v>55</v>
      </c>
      <c r="C20" s="359"/>
      <c r="D20" s="236">
        <v>0</v>
      </c>
      <c r="E20" s="244">
        <v>350000</v>
      </c>
      <c r="F20" s="249">
        <v>5</v>
      </c>
      <c r="G20" s="238">
        <f>E20*F20</f>
        <v>1750000</v>
      </c>
      <c r="H20" s="234">
        <f>G20+D20</f>
        <v>1750000</v>
      </c>
      <c r="I20" s="83" t="s">
        <v>269</v>
      </c>
      <c r="L20" s="1" t="s">
        <v>300</v>
      </c>
      <c r="M20" s="256">
        <v>400000</v>
      </c>
    </row>
    <row r="21" spans="1:9" ht="14.25" thickBot="1">
      <c r="A21" s="349"/>
      <c r="B21" s="371" t="s">
        <v>56</v>
      </c>
      <c r="C21" s="371"/>
      <c r="D21" s="220">
        <f>SUM(D23:D24,D26:D28,D30:D31,D33:D44,D46:D54,D56:D62,D64:D66,D68:D75,D77:D78,D80:D83,D85:D86)</f>
        <v>16388284</v>
      </c>
      <c r="E21" s="221">
        <f>SUM(E23:E24,E26:E28,E30:E31,E33:E44,E46:E54,E56:E62,E64:E66,E68:E75,E77:E78,E80:E83,E85:E86)</f>
        <v>399197.792</v>
      </c>
      <c r="F21" s="222"/>
      <c r="G21" s="221">
        <f>SUM(G23:G24,G26:G28,G30:G31,G33:G44,G46:G54,G56:G62,G64:G66,G68:G75,G77:G78,G80:G83,G85:G86)</f>
        <v>25839982.048</v>
      </c>
      <c r="H21" s="223">
        <f>SUM(H23:H24,H26:H28,H30:H31,H33:H44,H46:H54,H56:H62,H64:H66,H68:H75,H77:H78,H80:H83,H85:H86)</f>
        <v>42228970.048</v>
      </c>
      <c r="I21" s="83"/>
    </row>
    <row r="22" spans="1:9" ht="14.25" outlineLevel="1" thickBot="1">
      <c r="A22" s="349"/>
      <c r="B22" s="374" t="s">
        <v>57</v>
      </c>
      <c r="C22" s="374"/>
      <c r="D22" s="373"/>
      <c r="E22" s="373"/>
      <c r="F22" s="373"/>
      <c r="G22" s="373"/>
      <c r="H22" s="373"/>
      <c r="I22" s="83"/>
    </row>
    <row r="23" spans="1:16" ht="14.25" outlineLevel="1" thickBot="1">
      <c r="A23" s="349"/>
      <c r="B23" s="359" t="s">
        <v>58</v>
      </c>
      <c r="C23" s="359"/>
      <c r="D23" s="235">
        <v>0</v>
      </c>
      <c r="E23" s="266">
        <f>1731*1.032</f>
        <v>1786.392</v>
      </c>
      <c r="F23" s="271">
        <f>11*20*11+4*6</f>
        <v>2444</v>
      </c>
      <c r="G23" s="268">
        <f>E23*F23</f>
        <v>4365942.048</v>
      </c>
      <c r="H23" s="257">
        <f>G23</f>
        <v>4365942.048</v>
      </c>
      <c r="I23" s="83" t="s">
        <v>343</v>
      </c>
      <c r="P23" s="59">
        <f>1900*11*20*11</f>
        <v>4598000</v>
      </c>
    </row>
    <row r="24" spans="1:17" ht="14.25" outlineLevel="1" thickBot="1">
      <c r="A24" s="349"/>
      <c r="B24" s="358" t="s">
        <v>59</v>
      </c>
      <c r="C24" s="358"/>
      <c r="D24" s="235">
        <v>0</v>
      </c>
      <c r="E24" s="243">
        <v>900</v>
      </c>
      <c r="F24" s="248">
        <f>((86)*20*10)+(20*20*1)</f>
        <v>17600</v>
      </c>
      <c r="G24" s="237">
        <f>E24*F24</f>
        <v>15840000</v>
      </c>
      <c r="H24" s="233">
        <f>G24+D24</f>
        <v>15840000</v>
      </c>
      <c r="I24" s="83" t="s">
        <v>261</v>
      </c>
      <c r="Q24" s="1">
        <f>86*900*20*10</f>
        <v>15480000</v>
      </c>
    </row>
    <row r="25" spans="1:9" ht="14.25" outlineLevel="1" thickBot="1">
      <c r="A25" s="349"/>
      <c r="B25" s="375" t="s">
        <v>60</v>
      </c>
      <c r="C25" s="375"/>
      <c r="D25" s="362"/>
      <c r="E25" s="362"/>
      <c r="F25" s="362"/>
      <c r="G25" s="362"/>
      <c r="H25" s="362"/>
      <c r="I25" s="83"/>
    </row>
    <row r="26" spans="1:9" ht="14.25" outlineLevel="1" thickBot="1">
      <c r="A26" s="349"/>
      <c r="B26" s="359" t="s">
        <v>61</v>
      </c>
      <c r="C26" s="359"/>
      <c r="D26" s="235">
        <v>0</v>
      </c>
      <c r="E26" s="243">
        <v>0</v>
      </c>
      <c r="F26" s="248">
        <v>0</v>
      </c>
      <c r="G26" s="237">
        <f>E26*F26</f>
        <v>0</v>
      </c>
      <c r="H26" s="233">
        <f>G26+D26</f>
        <v>0</v>
      </c>
      <c r="I26" s="83"/>
    </row>
    <row r="27" spans="1:9" ht="14.25" outlineLevel="1" thickBot="1">
      <c r="A27" s="349"/>
      <c r="B27" s="358" t="s">
        <v>62</v>
      </c>
      <c r="C27" s="358"/>
      <c r="D27" s="235">
        <v>0</v>
      </c>
      <c r="E27" s="243">
        <v>17000</v>
      </c>
      <c r="F27" s="248">
        <v>17</v>
      </c>
      <c r="G27" s="237">
        <f>E27*F27</f>
        <v>289000</v>
      </c>
      <c r="H27" s="257">
        <f>G27+D27</f>
        <v>289000</v>
      </c>
      <c r="I27" s="83" t="s">
        <v>344</v>
      </c>
    </row>
    <row r="28" spans="1:9" ht="14.25" outlineLevel="1" thickBot="1">
      <c r="A28" s="349"/>
      <c r="B28" s="359" t="s">
        <v>63</v>
      </c>
      <c r="C28" s="359"/>
      <c r="D28" s="235">
        <v>0</v>
      </c>
      <c r="E28" s="243">
        <v>33000</v>
      </c>
      <c r="F28" s="248">
        <v>3</v>
      </c>
      <c r="G28" s="237">
        <f>E28*F28</f>
        <v>99000</v>
      </c>
      <c r="H28" s="233">
        <f>G28+D28</f>
        <v>99000</v>
      </c>
      <c r="I28" s="83" t="s">
        <v>270</v>
      </c>
    </row>
    <row r="29" spans="1:9" ht="14.25" outlineLevel="1" thickBot="1">
      <c r="A29" s="349"/>
      <c r="B29" s="375" t="s">
        <v>64</v>
      </c>
      <c r="C29" s="375"/>
      <c r="D29" s="373"/>
      <c r="E29" s="373"/>
      <c r="F29" s="373"/>
      <c r="G29" s="373"/>
      <c r="H29" s="373"/>
      <c r="I29" s="83"/>
    </row>
    <row r="30" spans="1:9" ht="14.25" outlineLevel="1" thickBot="1">
      <c r="A30" s="349"/>
      <c r="B30" s="359" t="s">
        <v>65</v>
      </c>
      <c r="C30" s="359"/>
      <c r="D30" s="235">
        <v>0</v>
      </c>
      <c r="E30" s="243">
        <v>0</v>
      </c>
      <c r="F30" s="248">
        <v>0</v>
      </c>
      <c r="G30" s="237">
        <f>E30*F30</f>
        <v>0</v>
      </c>
      <c r="H30" s="233">
        <f>G30+D30</f>
        <v>0</v>
      </c>
      <c r="I30" s="83"/>
    </row>
    <row r="31" spans="1:9" ht="14.25" outlineLevel="1" thickBot="1">
      <c r="A31" s="349"/>
      <c r="B31" s="358" t="s">
        <v>66</v>
      </c>
      <c r="C31" s="358"/>
      <c r="D31" s="235">
        <v>0</v>
      </c>
      <c r="E31" s="243">
        <v>0</v>
      </c>
      <c r="F31" s="248">
        <v>0</v>
      </c>
      <c r="G31" s="237">
        <f>E31*F31</f>
        <v>0</v>
      </c>
      <c r="H31" s="233">
        <f>G31+D31</f>
        <v>0</v>
      </c>
      <c r="I31" s="83"/>
    </row>
    <row r="32" spans="1:9" ht="14.25" outlineLevel="1" thickBot="1">
      <c r="A32" s="349"/>
      <c r="B32" s="375" t="s">
        <v>67</v>
      </c>
      <c r="C32" s="375"/>
      <c r="D32" s="362"/>
      <c r="E32" s="362"/>
      <c r="F32" s="362"/>
      <c r="G32" s="362"/>
      <c r="H32" s="362"/>
      <c r="I32" s="83"/>
    </row>
    <row r="33" spans="1:9" ht="14.25" outlineLevel="1" thickBot="1">
      <c r="A33" s="349"/>
      <c r="B33" s="359" t="s">
        <v>68</v>
      </c>
      <c r="C33" s="359"/>
      <c r="D33" s="235">
        <v>50000</v>
      </c>
      <c r="E33" s="243">
        <v>0</v>
      </c>
      <c r="F33" s="248">
        <v>0</v>
      </c>
      <c r="G33" s="237">
        <f aca="true" t="shared" si="0" ref="G33:G44">E33*F33</f>
        <v>0</v>
      </c>
      <c r="H33" s="233">
        <f aca="true" t="shared" si="1" ref="H33:H44">G33+D33</f>
        <v>50000</v>
      </c>
      <c r="I33" s="83" t="s">
        <v>268</v>
      </c>
    </row>
    <row r="34" spans="1:9" ht="14.25" outlineLevel="1" thickBot="1">
      <c r="A34" s="349"/>
      <c r="B34" s="358" t="s">
        <v>267</v>
      </c>
      <c r="C34" s="358"/>
      <c r="D34" s="235">
        <v>120000</v>
      </c>
      <c r="E34" s="243">
        <v>0</v>
      </c>
      <c r="F34" s="248">
        <v>0</v>
      </c>
      <c r="G34" s="237">
        <f t="shared" si="0"/>
        <v>0</v>
      </c>
      <c r="H34" s="233">
        <f t="shared" si="1"/>
        <v>120000</v>
      </c>
      <c r="I34" s="83" t="s">
        <v>245</v>
      </c>
    </row>
    <row r="35" spans="1:9" ht="14.25" outlineLevel="1" thickBot="1">
      <c r="A35" s="349"/>
      <c r="B35" s="359" t="s">
        <v>69</v>
      </c>
      <c r="C35" s="359"/>
      <c r="D35" s="235">
        <v>0</v>
      </c>
      <c r="E35" s="243">
        <v>0</v>
      </c>
      <c r="F35" s="248">
        <v>0</v>
      </c>
      <c r="G35" s="237">
        <f t="shared" si="0"/>
        <v>0</v>
      </c>
      <c r="H35" s="233">
        <f t="shared" si="1"/>
        <v>0</v>
      </c>
      <c r="I35" s="83"/>
    </row>
    <row r="36" spans="1:9" ht="14.25" outlineLevel="1" thickBot="1">
      <c r="A36" s="349"/>
      <c r="B36" s="358" t="s">
        <v>70</v>
      </c>
      <c r="C36" s="358"/>
      <c r="D36" s="235">
        <v>70000</v>
      </c>
      <c r="E36" s="243">
        <v>0</v>
      </c>
      <c r="F36" s="248">
        <v>0</v>
      </c>
      <c r="G36" s="237">
        <f t="shared" si="0"/>
        <v>0</v>
      </c>
      <c r="H36" s="233">
        <f t="shared" si="1"/>
        <v>70000</v>
      </c>
      <c r="I36" s="83" t="s">
        <v>244</v>
      </c>
    </row>
    <row r="37" spans="1:9" ht="14.25" outlineLevel="1" thickBot="1">
      <c r="A37" s="349"/>
      <c r="B37" s="359" t="s">
        <v>71</v>
      </c>
      <c r="C37" s="359"/>
      <c r="D37" s="235">
        <v>0</v>
      </c>
      <c r="E37" s="243">
        <v>0</v>
      </c>
      <c r="F37" s="248">
        <v>0</v>
      </c>
      <c r="G37" s="237">
        <f t="shared" si="0"/>
        <v>0</v>
      </c>
      <c r="H37" s="233">
        <f t="shared" si="1"/>
        <v>0</v>
      </c>
      <c r="I37" s="83"/>
    </row>
    <row r="38" spans="1:9" ht="14.25" outlineLevel="1" thickBot="1">
      <c r="A38" s="349"/>
      <c r="B38" s="358" t="s">
        <v>72</v>
      </c>
      <c r="C38" s="358"/>
      <c r="D38" s="235">
        <v>0</v>
      </c>
      <c r="E38" s="243">
        <v>0</v>
      </c>
      <c r="F38" s="248">
        <v>0</v>
      </c>
      <c r="G38" s="237">
        <f t="shared" si="0"/>
        <v>0</v>
      </c>
      <c r="H38" s="233">
        <f t="shared" si="1"/>
        <v>0</v>
      </c>
      <c r="I38" s="83"/>
    </row>
    <row r="39" spans="1:9" ht="14.25" outlineLevel="1" thickBot="1">
      <c r="A39" s="349"/>
      <c r="B39" s="359" t="s">
        <v>73</v>
      </c>
      <c r="C39" s="359"/>
      <c r="D39" s="235">
        <v>0</v>
      </c>
      <c r="E39" s="243">
        <v>0</v>
      </c>
      <c r="F39" s="248">
        <v>0</v>
      </c>
      <c r="G39" s="237">
        <f t="shared" si="0"/>
        <v>0</v>
      </c>
      <c r="H39" s="233">
        <f t="shared" si="1"/>
        <v>0</v>
      </c>
      <c r="I39" s="83"/>
    </row>
    <row r="40" spans="1:9" ht="14.25" outlineLevel="1" thickBot="1">
      <c r="A40" s="349"/>
      <c r="B40" s="358" t="s">
        <v>74</v>
      </c>
      <c r="C40" s="358"/>
      <c r="D40" s="235">
        <v>200000</v>
      </c>
      <c r="E40" s="243">
        <v>0</v>
      </c>
      <c r="F40" s="250">
        <v>0</v>
      </c>
      <c r="G40" s="237">
        <f t="shared" si="0"/>
        <v>0</v>
      </c>
      <c r="H40" s="233">
        <f t="shared" si="1"/>
        <v>200000</v>
      </c>
      <c r="I40" s="83" t="s">
        <v>272</v>
      </c>
    </row>
    <row r="41" spans="1:12" ht="14.25" outlineLevel="1" thickBot="1">
      <c r="A41" s="349"/>
      <c r="B41" s="359" t="s">
        <v>75</v>
      </c>
      <c r="C41" s="359"/>
      <c r="D41" s="265">
        <f>2000000-(2000000*0.01)</f>
        <v>1980000</v>
      </c>
      <c r="E41" s="243">
        <v>0</v>
      </c>
      <c r="F41" s="250">
        <v>0</v>
      </c>
      <c r="G41" s="237">
        <f t="shared" si="0"/>
        <v>0</v>
      </c>
      <c r="H41" s="257">
        <f>D41</f>
        <v>1980000</v>
      </c>
      <c r="I41" s="269" t="s">
        <v>230</v>
      </c>
      <c r="J41" s="270" t="s">
        <v>301</v>
      </c>
      <c r="K41" s="270">
        <f>1200000*1.042</f>
        <v>1250400</v>
      </c>
      <c r="L41" s="270" t="s">
        <v>314</v>
      </c>
    </row>
    <row r="42" spans="1:9" ht="14.25" outlineLevel="1" thickBot="1">
      <c r="A42" s="349"/>
      <c r="B42" s="358" t="s">
        <v>76</v>
      </c>
      <c r="C42" s="358"/>
      <c r="D42" s="235">
        <f>280000-(280000*0.01)</f>
        <v>277200</v>
      </c>
      <c r="E42" s="243">
        <v>0</v>
      </c>
      <c r="F42" s="250">
        <v>0</v>
      </c>
      <c r="G42" s="237">
        <f t="shared" si="0"/>
        <v>0</v>
      </c>
      <c r="H42" s="233">
        <f t="shared" si="1"/>
        <v>277200</v>
      </c>
      <c r="I42" s="83" t="s">
        <v>243</v>
      </c>
    </row>
    <row r="43" spans="1:9" ht="14.25" outlineLevel="1" thickBot="1">
      <c r="A43" s="349"/>
      <c r="B43" s="359" t="s">
        <v>77</v>
      </c>
      <c r="C43" s="359"/>
      <c r="D43" s="235">
        <f>750000-(750000*0.01)</f>
        <v>742500</v>
      </c>
      <c r="E43" s="243">
        <v>0</v>
      </c>
      <c r="F43" s="250">
        <v>0</v>
      </c>
      <c r="G43" s="237">
        <f t="shared" si="0"/>
        <v>0</v>
      </c>
      <c r="H43" s="233">
        <f t="shared" si="1"/>
        <v>742500</v>
      </c>
      <c r="I43" s="83" t="s">
        <v>275</v>
      </c>
    </row>
    <row r="44" spans="1:9" ht="14.25" outlineLevel="1" thickBot="1">
      <c r="A44" s="349"/>
      <c r="B44" s="358" t="s">
        <v>78</v>
      </c>
      <c r="C44" s="358"/>
      <c r="D44" s="235">
        <v>0</v>
      </c>
      <c r="E44" s="243">
        <v>0</v>
      </c>
      <c r="F44" s="250">
        <v>0</v>
      </c>
      <c r="G44" s="237">
        <f t="shared" si="0"/>
        <v>0</v>
      </c>
      <c r="H44" s="233">
        <f t="shared" si="1"/>
        <v>0</v>
      </c>
      <c r="I44" s="83"/>
    </row>
    <row r="45" spans="1:9" s="4" customFormat="1" ht="14.25" outlineLevel="1" thickBot="1">
      <c r="A45" s="349"/>
      <c r="B45" s="375" t="s">
        <v>79</v>
      </c>
      <c r="C45" s="375"/>
      <c r="D45" s="362"/>
      <c r="E45" s="362"/>
      <c r="F45" s="362"/>
      <c r="G45" s="362"/>
      <c r="H45" s="362"/>
      <c r="I45" s="83"/>
    </row>
    <row r="46" spans="1:11" s="4" customFormat="1" ht="14.25" outlineLevel="1" thickBot="1">
      <c r="A46" s="349"/>
      <c r="B46" s="359" t="s">
        <v>80</v>
      </c>
      <c r="C46" s="359"/>
      <c r="D46" s="235">
        <f>700000*1.032</f>
        <v>722400</v>
      </c>
      <c r="E46" s="243">
        <v>0</v>
      </c>
      <c r="F46" s="251">
        <v>0</v>
      </c>
      <c r="G46" s="237">
        <f aca="true" t="shared" si="2" ref="G46:G54">E46*F46</f>
        <v>0</v>
      </c>
      <c r="H46" s="233">
        <f aca="true" t="shared" si="3" ref="H46:H54">G46+D46</f>
        <v>722400</v>
      </c>
      <c r="I46" s="83" t="s">
        <v>259</v>
      </c>
      <c r="K46" s="302">
        <v>0.032</v>
      </c>
    </row>
    <row r="47" spans="1:9" ht="14.25" outlineLevel="1" thickBot="1">
      <c r="A47" s="349"/>
      <c r="B47" s="358" t="s">
        <v>81</v>
      </c>
      <c r="C47" s="358"/>
      <c r="D47" s="235">
        <f>2400000-(2400000*0.01)</f>
        <v>2376000</v>
      </c>
      <c r="E47" s="243">
        <v>0</v>
      </c>
      <c r="F47" s="250">
        <v>0</v>
      </c>
      <c r="G47" s="237">
        <f t="shared" si="2"/>
        <v>0</v>
      </c>
      <c r="H47" s="233">
        <f t="shared" si="3"/>
        <v>2376000</v>
      </c>
      <c r="I47" s="83" t="s">
        <v>230</v>
      </c>
    </row>
    <row r="48" spans="1:9" ht="14.25" outlineLevel="1" thickBot="1">
      <c r="A48" s="349"/>
      <c r="B48" s="359" t="s">
        <v>82</v>
      </c>
      <c r="C48" s="359"/>
      <c r="D48" s="235">
        <f>5000000-(500000*0.01)</f>
        <v>4995000</v>
      </c>
      <c r="E48" s="243">
        <v>0</v>
      </c>
      <c r="F48" s="250">
        <v>0</v>
      </c>
      <c r="G48" s="237">
        <f t="shared" si="2"/>
        <v>0</v>
      </c>
      <c r="H48" s="233">
        <f t="shared" si="3"/>
        <v>4995000</v>
      </c>
      <c r="I48" s="83"/>
    </row>
    <row r="49" spans="1:9" ht="14.25" outlineLevel="1" thickBot="1">
      <c r="A49" s="349"/>
      <c r="B49" s="358" t="s">
        <v>83</v>
      </c>
      <c r="C49" s="358"/>
      <c r="D49" s="235">
        <v>0</v>
      </c>
      <c r="E49" s="243">
        <v>0</v>
      </c>
      <c r="F49" s="250">
        <v>0</v>
      </c>
      <c r="G49" s="237">
        <f t="shared" si="2"/>
        <v>0</v>
      </c>
      <c r="H49" s="233">
        <f t="shared" si="3"/>
        <v>0</v>
      </c>
      <c r="I49" s="83"/>
    </row>
    <row r="50" spans="1:9" ht="14.25" outlineLevel="1" thickBot="1">
      <c r="A50" s="349"/>
      <c r="B50" s="359" t="s">
        <v>84</v>
      </c>
      <c r="C50" s="359"/>
      <c r="D50" s="235">
        <v>0</v>
      </c>
      <c r="E50" s="243">
        <v>0</v>
      </c>
      <c r="F50" s="250">
        <v>0</v>
      </c>
      <c r="G50" s="237">
        <f t="shared" si="2"/>
        <v>0</v>
      </c>
      <c r="H50" s="233">
        <f t="shared" si="3"/>
        <v>0</v>
      </c>
      <c r="I50" s="83"/>
    </row>
    <row r="51" spans="1:9" ht="14.25" outlineLevel="1" thickBot="1">
      <c r="A51" s="349"/>
      <c r="B51" s="358" t="s">
        <v>85</v>
      </c>
      <c r="C51" s="358"/>
      <c r="D51" s="235">
        <v>0</v>
      </c>
      <c r="E51" s="243">
        <v>10000</v>
      </c>
      <c r="F51" s="250">
        <v>12</v>
      </c>
      <c r="G51" s="237">
        <f t="shared" si="2"/>
        <v>120000</v>
      </c>
      <c r="H51" s="233">
        <f t="shared" si="3"/>
        <v>120000</v>
      </c>
      <c r="I51" s="83" t="s">
        <v>242</v>
      </c>
    </row>
    <row r="52" spans="1:12" ht="14.25" outlineLevel="1" thickBot="1">
      <c r="A52" s="349"/>
      <c r="B52" s="359" t="s">
        <v>86</v>
      </c>
      <c r="C52" s="359"/>
      <c r="D52" s="265">
        <v>575184</v>
      </c>
      <c r="E52" s="266">
        <v>0</v>
      </c>
      <c r="F52" s="267">
        <v>0</v>
      </c>
      <c r="G52" s="268">
        <f t="shared" si="2"/>
        <v>0</v>
      </c>
      <c r="H52" s="257">
        <f t="shared" si="3"/>
        <v>575184</v>
      </c>
      <c r="I52" s="269" t="s">
        <v>273</v>
      </c>
      <c r="J52" s="270"/>
      <c r="K52" s="270">
        <f>46000*12</f>
        <v>552000</v>
      </c>
      <c r="L52" s="270">
        <f>K52*1.042</f>
        <v>575184</v>
      </c>
    </row>
    <row r="53" spans="1:9" ht="14.25" outlineLevel="1" thickBot="1">
      <c r="A53" s="349"/>
      <c r="B53" s="358" t="s">
        <v>87</v>
      </c>
      <c r="C53" s="358"/>
      <c r="D53" s="265">
        <v>0</v>
      </c>
      <c r="E53" s="266">
        <v>0</v>
      </c>
      <c r="F53" s="267">
        <v>0</v>
      </c>
      <c r="G53" s="268">
        <f t="shared" si="2"/>
        <v>0</v>
      </c>
      <c r="H53" s="257">
        <v>0</v>
      </c>
      <c r="I53" s="83"/>
    </row>
    <row r="54" spans="1:9" ht="14.25" outlineLevel="1" thickBot="1">
      <c r="A54" s="349"/>
      <c r="B54" s="359" t="s">
        <v>88</v>
      </c>
      <c r="C54" s="359"/>
      <c r="D54" s="235">
        <v>0</v>
      </c>
      <c r="E54" s="243">
        <v>0</v>
      </c>
      <c r="F54" s="250">
        <v>0</v>
      </c>
      <c r="G54" s="237">
        <f t="shared" si="2"/>
        <v>0</v>
      </c>
      <c r="H54" s="233">
        <f t="shared" si="3"/>
        <v>0</v>
      </c>
      <c r="I54" s="83"/>
    </row>
    <row r="55" spans="1:9" ht="14.25" outlineLevel="1" thickBot="1">
      <c r="A55" s="349"/>
      <c r="B55" s="363" t="s">
        <v>89</v>
      </c>
      <c r="C55" s="363"/>
      <c r="D55" s="362"/>
      <c r="E55" s="362"/>
      <c r="F55" s="362"/>
      <c r="G55" s="362"/>
      <c r="H55" s="362"/>
      <c r="I55" s="83"/>
    </row>
    <row r="56" spans="1:15" ht="14.25" outlineLevel="1" thickBot="1">
      <c r="A56" s="349"/>
      <c r="B56" s="359" t="s">
        <v>90</v>
      </c>
      <c r="C56" s="359"/>
      <c r="D56" s="235">
        <v>2500000</v>
      </c>
      <c r="E56" s="243">
        <v>0</v>
      </c>
      <c r="F56" s="250">
        <v>0</v>
      </c>
      <c r="G56" s="237">
        <f aca="true" t="shared" si="4" ref="G56:G62">E56*F56</f>
        <v>0</v>
      </c>
      <c r="H56" s="257">
        <f>D56</f>
        <v>2500000</v>
      </c>
      <c r="I56" s="83" t="s">
        <v>266</v>
      </c>
      <c r="M56" s="1" t="s">
        <v>302</v>
      </c>
      <c r="O56" s="1">
        <v>4150</v>
      </c>
    </row>
    <row r="57" spans="1:9" ht="14.25" outlineLevel="1" thickBot="1">
      <c r="A57" s="349"/>
      <c r="B57" s="358" t="s">
        <v>91</v>
      </c>
      <c r="C57" s="358"/>
      <c r="D57" s="235">
        <v>0</v>
      </c>
      <c r="E57" s="243">
        <v>0</v>
      </c>
      <c r="F57" s="250">
        <v>0</v>
      </c>
      <c r="G57" s="237">
        <f t="shared" si="4"/>
        <v>0</v>
      </c>
      <c r="H57" s="233">
        <f aca="true" t="shared" si="5" ref="H57:H62">G57+D57</f>
        <v>0</v>
      </c>
      <c r="I57" s="83"/>
    </row>
    <row r="58" spans="1:9" ht="14.25" outlineLevel="1" thickBot="1">
      <c r="A58" s="349"/>
      <c r="B58" s="359" t="s">
        <v>92</v>
      </c>
      <c r="C58" s="359"/>
      <c r="D58" s="235">
        <v>0</v>
      </c>
      <c r="E58" s="243">
        <v>0</v>
      </c>
      <c r="F58" s="250">
        <v>0</v>
      </c>
      <c r="G58" s="237">
        <f t="shared" si="4"/>
        <v>0</v>
      </c>
      <c r="H58" s="233">
        <f t="shared" si="5"/>
        <v>0</v>
      </c>
      <c r="I58" s="83"/>
    </row>
    <row r="59" spans="1:9" ht="14.25" outlineLevel="1" thickBot="1">
      <c r="A59" s="349"/>
      <c r="B59" s="358" t="s">
        <v>93</v>
      </c>
      <c r="C59" s="358"/>
      <c r="D59" s="235">
        <v>0</v>
      </c>
      <c r="E59" s="243">
        <v>0</v>
      </c>
      <c r="F59" s="250">
        <v>0</v>
      </c>
      <c r="G59" s="237">
        <f t="shared" si="4"/>
        <v>0</v>
      </c>
      <c r="H59" s="233">
        <f t="shared" si="5"/>
        <v>0</v>
      </c>
      <c r="I59" s="83"/>
    </row>
    <row r="60" spans="1:9" ht="14.25" outlineLevel="1" thickBot="1">
      <c r="A60" s="349"/>
      <c r="B60" s="359" t="s">
        <v>94</v>
      </c>
      <c r="C60" s="359"/>
      <c r="D60" s="235">
        <v>0</v>
      </c>
      <c r="E60" s="243">
        <v>0</v>
      </c>
      <c r="F60" s="250">
        <v>0</v>
      </c>
      <c r="G60" s="237">
        <f t="shared" si="4"/>
        <v>0</v>
      </c>
      <c r="H60" s="233">
        <f t="shared" si="5"/>
        <v>0</v>
      </c>
      <c r="I60" s="83"/>
    </row>
    <row r="61" spans="1:9" ht="14.25" outlineLevel="1" thickBot="1">
      <c r="A61" s="349"/>
      <c r="B61" s="358" t="s">
        <v>95</v>
      </c>
      <c r="C61" s="358"/>
      <c r="D61" s="235">
        <v>0</v>
      </c>
      <c r="E61" s="243">
        <v>0</v>
      </c>
      <c r="F61" s="250">
        <v>0</v>
      </c>
      <c r="G61" s="237">
        <f t="shared" si="4"/>
        <v>0</v>
      </c>
      <c r="H61" s="233">
        <f t="shared" si="5"/>
        <v>0</v>
      </c>
      <c r="I61" s="83"/>
    </row>
    <row r="62" spans="1:9" ht="14.25" outlineLevel="1" thickBot="1">
      <c r="A62" s="349"/>
      <c r="B62" s="359" t="s">
        <v>96</v>
      </c>
      <c r="C62" s="359"/>
      <c r="D62" s="235">
        <v>0</v>
      </c>
      <c r="E62" s="243">
        <v>0</v>
      </c>
      <c r="F62" s="250">
        <v>0</v>
      </c>
      <c r="G62" s="237">
        <f t="shared" si="4"/>
        <v>0</v>
      </c>
      <c r="H62" s="233">
        <f t="shared" si="5"/>
        <v>0</v>
      </c>
      <c r="I62" s="83"/>
    </row>
    <row r="63" spans="1:9" ht="14.25" outlineLevel="1" thickBot="1">
      <c r="A63" s="349"/>
      <c r="B63" s="363" t="s">
        <v>97</v>
      </c>
      <c r="C63" s="363"/>
      <c r="D63" s="362"/>
      <c r="E63" s="362"/>
      <c r="F63" s="362"/>
      <c r="G63" s="362"/>
      <c r="H63" s="362"/>
      <c r="I63" s="83"/>
    </row>
    <row r="64" spans="1:9" ht="14.25" outlineLevel="1" thickBot="1">
      <c r="A64" s="349"/>
      <c r="B64" s="359" t="s">
        <v>98</v>
      </c>
      <c r="C64" s="359"/>
      <c r="D64" s="235">
        <v>0</v>
      </c>
      <c r="E64" s="243">
        <v>0</v>
      </c>
      <c r="F64" s="250">
        <v>0</v>
      </c>
      <c r="G64" s="237">
        <f>E64*F64</f>
        <v>0</v>
      </c>
      <c r="H64" s="233">
        <f>G64+D64</f>
        <v>0</v>
      </c>
      <c r="I64" s="83"/>
    </row>
    <row r="65" spans="1:9" ht="14.25" outlineLevel="1" thickBot="1">
      <c r="A65" s="349"/>
      <c r="B65" s="358" t="s">
        <v>99</v>
      </c>
      <c r="C65" s="358"/>
      <c r="D65" s="235">
        <v>0</v>
      </c>
      <c r="E65" s="243">
        <v>0</v>
      </c>
      <c r="F65" s="250">
        <v>0</v>
      </c>
      <c r="G65" s="237">
        <f>E65*F65</f>
        <v>0</v>
      </c>
      <c r="H65" s="233">
        <f>G65+D65</f>
        <v>0</v>
      </c>
      <c r="I65" s="83"/>
    </row>
    <row r="66" spans="1:9" ht="14.25" outlineLevel="1" thickBot="1">
      <c r="A66" s="349"/>
      <c r="B66" s="359" t="s">
        <v>100</v>
      </c>
      <c r="C66" s="359"/>
      <c r="D66" s="235">
        <v>0</v>
      </c>
      <c r="E66" s="243">
        <v>0</v>
      </c>
      <c r="F66" s="250">
        <v>0</v>
      </c>
      <c r="G66" s="237">
        <f>E66*F66</f>
        <v>0</v>
      </c>
      <c r="H66" s="233">
        <f>G66+D66</f>
        <v>0</v>
      </c>
      <c r="I66" s="83"/>
    </row>
    <row r="67" spans="1:9" ht="14.25" outlineLevel="1" thickBot="1">
      <c r="A67" s="349"/>
      <c r="B67" s="363" t="s">
        <v>101</v>
      </c>
      <c r="C67" s="363"/>
      <c r="D67" s="362"/>
      <c r="E67" s="362"/>
      <c r="F67" s="362"/>
      <c r="G67" s="362"/>
      <c r="H67" s="362"/>
      <c r="I67" s="83"/>
    </row>
    <row r="68" spans="1:9" ht="14.25" outlineLevel="1" thickBot="1">
      <c r="A68" s="349"/>
      <c r="B68" s="359" t="s">
        <v>237</v>
      </c>
      <c r="C68" s="359"/>
      <c r="D68" s="235">
        <v>0</v>
      </c>
      <c r="E68" s="243">
        <f>1500*10</f>
        <v>15000</v>
      </c>
      <c r="F68" s="250">
        <v>110</v>
      </c>
      <c r="G68" s="237">
        <f aca="true" t="shared" si="6" ref="G68:G75">E68*F68</f>
        <v>1650000</v>
      </c>
      <c r="H68" s="233">
        <f aca="true" t="shared" si="7" ref="H68:H75">G68+D68</f>
        <v>1650000</v>
      </c>
      <c r="I68" s="83" t="s">
        <v>262</v>
      </c>
    </row>
    <row r="69" spans="1:9" ht="14.25" outlineLevel="1" thickBot="1">
      <c r="A69" s="349"/>
      <c r="B69" s="358" t="s">
        <v>102</v>
      </c>
      <c r="C69" s="358"/>
      <c r="D69" s="235">
        <v>0</v>
      </c>
      <c r="E69" s="243">
        <v>0</v>
      </c>
      <c r="F69" s="250">
        <v>0</v>
      </c>
      <c r="G69" s="237">
        <f t="shared" si="6"/>
        <v>0</v>
      </c>
      <c r="H69" s="233">
        <f t="shared" si="7"/>
        <v>0</v>
      </c>
      <c r="I69" s="83"/>
    </row>
    <row r="70" spans="1:9" ht="14.25" outlineLevel="1" thickBot="1">
      <c r="A70" s="349"/>
      <c r="B70" s="359" t="s">
        <v>103</v>
      </c>
      <c r="C70" s="359"/>
      <c r="D70" s="235">
        <v>0</v>
      </c>
      <c r="E70" s="243">
        <v>0</v>
      </c>
      <c r="F70" s="250">
        <v>0</v>
      </c>
      <c r="G70" s="237">
        <f t="shared" si="6"/>
        <v>0</v>
      </c>
      <c r="H70" s="233">
        <f t="shared" si="7"/>
        <v>0</v>
      </c>
      <c r="I70" s="83"/>
    </row>
    <row r="71" spans="1:9" ht="14.25" outlineLevel="1" thickBot="1">
      <c r="A71" s="349"/>
      <c r="B71" s="358" t="s">
        <v>104</v>
      </c>
      <c r="C71" s="358"/>
      <c r="D71" s="235">
        <v>0</v>
      </c>
      <c r="E71" s="243">
        <v>0</v>
      </c>
      <c r="F71" s="250">
        <v>0</v>
      </c>
      <c r="G71" s="237">
        <f t="shared" si="6"/>
        <v>0</v>
      </c>
      <c r="H71" s="233">
        <f t="shared" si="7"/>
        <v>0</v>
      </c>
      <c r="I71" s="83"/>
    </row>
    <row r="72" spans="1:9" ht="14.25" outlineLevel="1" thickBot="1">
      <c r="A72" s="349"/>
      <c r="B72" s="359" t="s">
        <v>105</v>
      </c>
      <c r="C72" s="359"/>
      <c r="D72" s="235">
        <v>200000</v>
      </c>
      <c r="E72" s="243">
        <f>600*2*20</f>
        <v>24000</v>
      </c>
      <c r="F72" s="250">
        <v>4</v>
      </c>
      <c r="G72" s="237">
        <f t="shared" si="6"/>
        <v>96000</v>
      </c>
      <c r="H72" s="233">
        <f t="shared" si="7"/>
        <v>296000</v>
      </c>
      <c r="I72" s="83" t="s">
        <v>274</v>
      </c>
    </row>
    <row r="73" spans="1:13" ht="14.25" outlineLevel="1" thickBot="1">
      <c r="A73" s="349"/>
      <c r="B73" s="358" t="s">
        <v>218</v>
      </c>
      <c r="C73" s="358"/>
      <c r="D73" s="235">
        <v>500000</v>
      </c>
      <c r="E73" s="243">
        <v>0</v>
      </c>
      <c r="F73" s="250">
        <v>0</v>
      </c>
      <c r="G73" s="237">
        <f t="shared" si="6"/>
        <v>0</v>
      </c>
      <c r="H73" s="257">
        <v>500000</v>
      </c>
      <c r="I73" s="83" t="s">
        <v>246</v>
      </c>
      <c r="L73" s="1">
        <f>113500*1.042</f>
        <v>118267</v>
      </c>
      <c r="M73" s="1">
        <f>L73*4</f>
        <v>473068</v>
      </c>
    </row>
    <row r="74" spans="1:12" ht="14.25" outlineLevel="1" thickBot="1">
      <c r="A74" s="349"/>
      <c r="B74" s="359" t="s">
        <v>173</v>
      </c>
      <c r="C74" s="359"/>
      <c r="D74" s="235">
        <v>400000</v>
      </c>
      <c r="E74" s="243">
        <v>0</v>
      </c>
      <c r="F74" s="250">
        <v>0</v>
      </c>
      <c r="G74" s="237">
        <v>0</v>
      </c>
      <c r="H74" s="233">
        <f t="shared" si="7"/>
        <v>400000</v>
      </c>
      <c r="I74" s="83" t="s">
        <v>247</v>
      </c>
      <c r="K74" s="1">
        <f>32000*12</f>
        <v>384000</v>
      </c>
      <c r="L74" s="1">
        <f>K74*1.042</f>
        <v>400128</v>
      </c>
    </row>
    <row r="75" spans="1:9" ht="14.25" outlineLevel="1" thickBot="1">
      <c r="A75" s="349"/>
      <c r="B75" s="358" t="s">
        <v>106</v>
      </c>
      <c r="C75" s="358"/>
      <c r="D75" s="235">
        <v>0</v>
      </c>
      <c r="E75" s="243">
        <v>0</v>
      </c>
      <c r="F75" s="250">
        <v>0</v>
      </c>
      <c r="G75" s="237">
        <f t="shared" si="6"/>
        <v>0</v>
      </c>
      <c r="H75" s="233">
        <f t="shared" si="7"/>
        <v>0</v>
      </c>
      <c r="I75" s="83"/>
    </row>
    <row r="76" spans="1:9" ht="14.25" outlineLevel="1" thickBot="1">
      <c r="A76" s="349"/>
      <c r="B76" s="363" t="s">
        <v>107</v>
      </c>
      <c r="C76" s="363"/>
      <c r="D76" s="362"/>
      <c r="E76" s="362"/>
      <c r="F76" s="362"/>
      <c r="G76" s="362"/>
      <c r="H76" s="362"/>
      <c r="I76" s="83"/>
    </row>
    <row r="77" spans="1:9" ht="14.25" outlineLevel="1" thickBot="1">
      <c r="A77" s="349"/>
      <c r="B77" s="359" t="s">
        <v>108</v>
      </c>
      <c r="C77" s="359"/>
      <c r="D77" s="235">
        <v>380000</v>
      </c>
      <c r="E77" s="243">
        <v>0</v>
      </c>
      <c r="F77" s="250">
        <v>0</v>
      </c>
      <c r="G77" s="237">
        <f>F77*E77</f>
        <v>0</v>
      </c>
      <c r="H77" s="233">
        <f>G77+D77</f>
        <v>380000</v>
      </c>
      <c r="I77" s="83" t="s">
        <v>255</v>
      </c>
    </row>
    <row r="78" spans="1:12" ht="14.25" outlineLevel="1" thickBot="1">
      <c r="A78" s="349"/>
      <c r="B78" s="358" t="s">
        <v>109</v>
      </c>
      <c r="C78" s="358"/>
      <c r="D78" s="235">
        <v>0</v>
      </c>
      <c r="E78" s="258">
        <v>6.4</v>
      </c>
      <c r="F78" s="250">
        <v>110</v>
      </c>
      <c r="G78" s="237"/>
      <c r="H78" s="263">
        <f>E78*F78</f>
        <v>704</v>
      </c>
      <c r="I78" s="89" t="s">
        <v>263</v>
      </c>
      <c r="J78" s="90"/>
      <c r="K78" s="90"/>
      <c r="L78" s="90"/>
    </row>
    <row r="79" spans="1:9" ht="14.25" outlineLevel="1" thickBot="1">
      <c r="A79" s="349"/>
      <c r="B79" s="363" t="s">
        <v>110</v>
      </c>
      <c r="C79" s="363"/>
      <c r="D79" s="362"/>
      <c r="E79" s="362"/>
      <c r="F79" s="362"/>
      <c r="G79" s="362"/>
      <c r="H79" s="362"/>
      <c r="I79" s="83"/>
    </row>
    <row r="80" spans="1:9" ht="14.25" outlineLevel="1" thickBot="1">
      <c r="A80" s="349"/>
      <c r="B80" s="359" t="s">
        <v>111</v>
      </c>
      <c r="C80" s="359"/>
      <c r="D80" s="235">
        <v>300000</v>
      </c>
      <c r="E80" s="243">
        <v>0</v>
      </c>
      <c r="F80" s="250">
        <v>0</v>
      </c>
      <c r="G80" s="237">
        <f>E80*F80</f>
        <v>0</v>
      </c>
      <c r="H80" s="257">
        <v>300000</v>
      </c>
      <c r="I80" s="83" t="s">
        <v>231</v>
      </c>
    </row>
    <row r="81" spans="1:9" ht="14.25" outlineLevel="1" thickBot="1">
      <c r="A81" s="349"/>
      <c r="B81" s="358" t="s">
        <v>112</v>
      </c>
      <c r="C81" s="358"/>
      <c r="D81" s="235">
        <v>0</v>
      </c>
      <c r="E81" s="243">
        <v>0</v>
      </c>
      <c r="F81" s="250">
        <v>0</v>
      </c>
      <c r="G81" s="237">
        <f>E81*F81</f>
        <v>0</v>
      </c>
      <c r="H81" s="233">
        <f>G81+D81</f>
        <v>0</v>
      </c>
      <c r="I81" s="83"/>
    </row>
    <row r="82" spans="1:9" ht="14.25" outlineLevel="1" thickBot="1">
      <c r="A82" s="349"/>
      <c r="B82" s="359" t="s">
        <v>113</v>
      </c>
      <c r="C82" s="359"/>
      <c r="D82" s="235">
        <v>0</v>
      </c>
      <c r="E82" s="243">
        <v>0</v>
      </c>
      <c r="F82" s="250">
        <v>0</v>
      </c>
      <c r="G82" s="237">
        <f>E82*F82</f>
        <v>0</v>
      </c>
      <c r="H82" s="233">
        <f>G82+D82</f>
        <v>0</v>
      </c>
      <c r="I82" s="83"/>
    </row>
    <row r="83" spans="1:9" ht="14.25" outlineLevel="1" thickBot="1">
      <c r="A83" s="349"/>
      <c r="B83" s="358" t="s">
        <v>114</v>
      </c>
      <c r="C83" s="358"/>
      <c r="D83" s="236">
        <v>0</v>
      </c>
      <c r="E83" s="294">
        <v>47505</v>
      </c>
      <c r="F83" s="295">
        <v>8</v>
      </c>
      <c r="G83" s="268">
        <f>E83*F83</f>
        <v>380040</v>
      </c>
      <c r="H83" s="296">
        <f>G83+D83</f>
        <v>380040</v>
      </c>
      <c r="I83" s="269" t="s">
        <v>264</v>
      </c>
    </row>
    <row r="84" spans="1:9" ht="14.25" outlineLevel="1" thickBot="1">
      <c r="A84" s="349"/>
      <c r="B84" s="363" t="s">
        <v>115</v>
      </c>
      <c r="C84" s="363"/>
      <c r="D84" s="376"/>
      <c r="E84" s="376"/>
      <c r="F84" s="376"/>
      <c r="G84" s="376"/>
      <c r="H84" s="376"/>
      <c r="I84" s="83"/>
    </row>
    <row r="85" spans="1:9" ht="14.25" outlineLevel="1" thickBot="1">
      <c r="A85" s="349"/>
      <c r="B85" s="359" t="s">
        <v>116</v>
      </c>
      <c r="C85" s="359"/>
      <c r="D85" s="235">
        <v>0</v>
      </c>
      <c r="E85" s="243">
        <v>250000</v>
      </c>
      <c r="F85" s="250">
        <v>12</v>
      </c>
      <c r="G85" s="237">
        <f>E85*F85</f>
        <v>3000000</v>
      </c>
      <c r="H85" s="233">
        <f>G85+D85</f>
        <v>3000000</v>
      </c>
      <c r="I85" s="83" t="s">
        <v>265</v>
      </c>
    </row>
    <row r="86" spans="1:9" ht="14.25" outlineLevel="1" thickBot="1">
      <c r="A86" s="349"/>
      <c r="B86" s="358" t="s">
        <v>117</v>
      </c>
      <c r="C86" s="358"/>
      <c r="D86" s="236">
        <v>0</v>
      </c>
      <c r="E86" s="244">
        <v>0</v>
      </c>
      <c r="F86" s="252">
        <v>0</v>
      </c>
      <c r="G86" s="238">
        <f>E86*F86</f>
        <v>0</v>
      </c>
      <c r="H86" s="234">
        <f>G86+D86</f>
        <v>0</v>
      </c>
      <c r="I86" s="83"/>
    </row>
    <row r="87" spans="1:9" ht="14.25" thickBot="1">
      <c r="A87" s="349"/>
      <c r="B87" s="371" t="s">
        <v>118</v>
      </c>
      <c r="C87" s="371"/>
      <c r="D87" s="220">
        <f>SUM(D88:D92)</f>
        <v>0</v>
      </c>
      <c r="E87" s="221">
        <f>SUM(E88:E92)</f>
        <v>18000</v>
      </c>
      <c r="F87" s="222"/>
      <c r="G87" s="221">
        <f>SUM(G88:G92)</f>
        <v>270000</v>
      </c>
      <c r="H87" s="223">
        <f>SUM(H88:H92)</f>
        <v>270000</v>
      </c>
      <c r="I87" s="83"/>
    </row>
    <row r="88" spans="1:9" ht="14.25" outlineLevel="1" thickBot="1">
      <c r="A88" s="349"/>
      <c r="B88" s="359" t="s">
        <v>119</v>
      </c>
      <c r="C88" s="359"/>
      <c r="D88" s="240">
        <v>0</v>
      </c>
      <c r="E88" s="245">
        <v>18000</v>
      </c>
      <c r="F88" s="253">
        <v>15</v>
      </c>
      <c r="G88" s="239">
        <f>E88*F88</f>
        <v>270000</v>
      </c>
      <c r="H88" s="264">
        <f>G88</f>
        <v>270000</v>
      </c>
      <c r="I88" s="83" t="s">
        <v>238</v>
      </c>
    </row>
    <row r="89" spans="1:9" ht="14.25" outlineLevel="1" thickBot="1">
      <c r="A89" s="349"/>
      <c r="B89" s="358" t="s">
        <v>120</v>
      </c>
      <c r="C89" s="358"/>
      <c r="D89" s="235">
        <v>0</v>
      </c>
      <c r="E89" s="243">
        <v>0</v>
      </c>
      <c r="F89" s="250">
        <v>0</v>
      </c>
      <c r="G89" s="237">
        <f>E89*F89</f>
        <v>0</v>
      </c>
      <c r="H89" s="233">
        <f>G89+D89</f>
        <v>0</v>
      </c>
      <c r="I89" s="83"/>
    </row>
    <row r="90" spans="1:9" ht="14.25" outlineLevel="1" thickBot="1">
      <c r="A90" s="349"/>
      <c r="B90" s="359" t="s">
        <v>121</v>
      </c>
      <c r="C90" s="359"/>
      <c r="D90" s="235">
        <v>0</v>
      </c>
      <c r="E90" s="243">
        <v>0</v>
      </c>
      <c r="F90" s="250">
        <v>0</v>
      </c>
      <c r="G90" s="237">
        <f>E90*F90</f>
        <v>0</v>
      </c>
      <c r="H90" s="233">
        <f>G90+D90</f>
        <v>0</v>
      </c>
      <c r="I90" s="83"/>
    </row>
    <row r="91" spans="1:9" ht="14.25" outlineLevel="1" thickBot="1">
      <c r="A91" s="349"/>
      <c r="B91" s="358" t="s">
        <v>122</v>
      </c>
      <c r="C91" s="358"/>
      <c r="D91" s="235">
        <v>0</v>
      </c>
      <c r="E91" s="243">
        <v>0</v>
      </c>
      <c r="F91" s="250">
        <v>0</v>
      </c>
      <c r="G91" s="237">
        <f>E91*F91</f>
        <v>0</v>
      </c>
      <c r="H91" s="233">
        <f>G91+D91</f>
        <v>0</v>
      </c>
      <c r="I91" s="83"/>
    </row>
    <row r="92" spans="1:9" ht="14.25" outlineLevel="1" thickBot="1">
      <c r="A92" s="349"/>
      <c r="B92" s="359" t="s">
        <v>123</v>
      </c>
      <c r="C92" s="359"/>
      <c r="D92" s="236">
        <v>0</v>
      </c>
      <c r="E92" s="244">
        <v>0</v>
      </c>
      <c r="F92" s="252">
        <v>0</v>
      </c>
      <c r="G92" s="238">
        <f>E92*F92</f>
        <v>0</v>
      </c>
      <c r="H92" s="234">
        <f>G92+D92</f>
        <v>0</v>
      </c>
      <c r="I92" s="83"/>
    </row>
    <row r="93" spans="1:9" ht="14.25" thickBot="1">
      <c r="A93" s="349"/>
      <c r="B93" s="377" t="s">
        <v>124</v>
      </c>
      <c r="C93" s="377"/>
      <c r="D93" s="241">
        <f>SUM(D9,D21,D87)</f>
        <v>94366571.934444</v>
      </c>
      <c r="E93" s="224">
        <f>SUM(E87,E21,E9)</f>
        <v>767197.792</v>
      </c>
      <c r="F93" s="242"/>
      <c r="G93" s="224">
        <f>SUM(G87,G21,G9)</f>
        <v>27859982.048</v>
      </c>
      <c r="H93" s="225">
        <f>SUM(H87,H21,H9)</f>
        <v>108418621.75096306</v>
      </c>
      <c r="I93" s="83"/>
    </row>
    <row r="97" ht="13.5">
      <c r="H97" s="77"/>
    </row>
  </sheetData>
  <sheetProtection selectLockedCells="1" selectUnlockedCells="1"/>
  <mergeCells count="109">
    <mergeCell ref="B84:C84"/>
    <mergeCell ref="D84:H84"/>
    <mergeCell ref="B92:C92"/>
    <mergeCell ref="B93:C93"/>
    <mergeCell ref="B85:C85"/>
    <mergeCell ref="B87:C87"/>
    <mergeCell ref="B88:C88"/>
    <mergeCell ref="B89:C89"/>
    <mergeCell ref="B90:C90"/>
    <mergeCell ref="B91:C91"/>
    <mergeCell ref="D76:H76"/>
    <mergeCell ref="B77:C77"/>
    <mergeCell ref="B78:C78"/>
    <mergeCell ref="B79:C79"/>
    <mergeCell ref="D79:H79"/>
    <mergeCell ref="B80:C80"/>
    <mergeCell ref="B81:C81"/>
    <mergeCell ref="B83:C83"/>
    <mergeCell ref="B68:C68"/>
    <mergeCell ref="B69:C69"/>
    <mergeCell ref="B70:C70"/>
    <mergeCell ref="B71:C71"/>
    <mergeCell ref="B72:C72"/>
    <mergeCell ref="B76:C76"/>
    <mergeCell ref="B73:C73"/>
    <mergeCell ref="B74:C74"/>
    <mergeCell ref="B63:C63"/>
    <mergeCell ref="D63:H63"/>
    <mergeCell ref="B64:C64"/>
    <mergeCell ref="B65:C65"/>
    <mergeCell ref="B66:C66"/>
    <mergeCell ref="B67:C67"/>
    <mergeCell ref="D67:H67"/>
    <mergeCell ref="B57:C57"/>
    <mergeCell ref="B58:C58"/>
    <mergeCell ref="B59:C59"/>
    <mergeCell ref="B60:C60"/>
    <mergeCell ref="B61:C61"/>
    <mergeCell ref="B62:C62"/>
    <mergeCell ref="B52:C52"/>
    <mergeCell ref="B53:C53"/>
    <mergeCell ref="B54:C54"/>
    <mergeCell ref="B55:C55"/>
    <mergeCell ref="D55:H55"/>
    <mergeCell ref="B56:C56"/>
    <mergeCell ref="B46:C46"/>
    <mergeCell ref="B47:C47"/>
    <mergeCell ref="B48:C48"/>
    <mergeCell ref="B49:C49"/>
    <mergeCell ref="B50:C50"/>
    <mergeCell ref="B51:C51"/>
    <mergeCell ref="B41:C41"/>
    <mergeCell ref="B42:C42"/>
    <mergeCell ref="B43:C43"/>
    <mergeCell ref="B44:C44"/>
    <mergeCell ref="B45:C45"/>
    <mergeCell ref="D45:H45"/>
    <mergeCell ref="B36:C36"/>
    <mergeCell ref="B37:C37"/>
    <mergeCell ref="B39:C39"/>
    <mergeCell ref="B40:C40"/>
    <mergeCell ref="B35:C35"/>
    <mergeCell ref="B38:C38"/>
    <mergeCell ref="B30:C30"/>
    <mergeCell ref="B31:C31"/>
    <mergeCell ref="B32:C32"/>
    <mergeCell ref="D32:H32"/>
    <mergeCell ref="B33:C33"/>
    <mergeCell ref="B34:C34"/>
    <mergeCell ref="B26:C26"/>
    <mergeCell ref="B27:C27"/>
    <mergeCell ref="B28:C28"/>
    <mergeCell ref="B24:C24"/>
    <mergeCell ref="B29:C29"/>
    <mergeCell ref="D29:H29"/>
    <mergeCell ref="B21:C21"/>
    <mergeCell ref="B22:C22"/>
    <mergeCell ref="D22:H22"/>
    <mergeCell ref="B23:C23"/>
    <mergeCell ref="B25:C25"/>
    <mergeCell ref="D25:H25"/>
    <mergeCell ref="A9:A93"/>
    <mergeCell ref="B9:C9"/>
    <mergeCell ref="B10:C10"/>
    <mergeCell ref="D10:H10"/>
    <mergeCell ref="B11:C11"/>
    <mergeCell ref="B12:C12"/>
    <mergeCell ref="B13:C13"/>
    <mergeCell ref="B14:C14"/>
    <mergeCell ref="B15:C15"/>
    <mergeCell ref="B16:C16"/>
    <mergeCell ref="L9:N9"/>
    <mergeCell ref="B1:G1"/>
    <mergeCell ref="B2:G2"/>
    <mergeCell ref="B3:G3"/>
    <mergeCell ref="D5:E5"/>
    <mergeCell ref="C6:D6"/>
    <mergeCell ref="E7:F7"/>
    <mergeCell ref="B8:C8"/>
    <mergeCell ref="B75:C75"/>
    <mergeCell ref="B82:C82"/>
    <mergeCell ref="B86:C86"/>
    <mergeCell ref="B19:C19"/>
    <mergeCell ref="B20:C20"/>
    <mergeCell ref="P11:Q11"/>
    <mergeCell ref="D16:H16"/>
    <mergeCell ref="B17:C17"/>
    <mergeCell ref="B18:C18"/>
    <mergeCell ref="D18:H18"/>
  </mergeCells>
  <printOptions/>
  <pageMargins left="0.6" right="0.4701388888888889" top="1.379861111111111" bottom="3.1999999999999997" header="0.4701388888888889" footer="0.4597222222222222"/>
  <pageSetup fitToHeight="18" fitToWidth="1" horizontalDpi="300" verticalDpi="300" orientation="portrait" scale="66" r:id="rId1"/>
  <headerFooter alignWithMargins="0">
    <oddHeader>&amp;LSEPT - 2004&amp;CDIRECTIVA D.B.S.A.
ORDINARIO&amp;R01-BS/0305/04</oddHeader>
    <oddFooter>&amp;LDEPARTAMENTO 
RRHH Y GESTION&amp;C01-BS&amp;RPAG &amp;P</oddFooter>
  </headerFooter>
</worksheet>
</file>

<file path=xl/worksheets/sheet4.xml><?xml version="1.0" encoding="utf-8"?>
<worksheet xmlns="http://schemas.openxmlformats.org/spreadsheetml/2006/main" xmlns:r="http://schemas.openxmlformats.org/officeDocument/2006/relationships">
  <sheetPr codeName="Hoja4">
    <pageSetUpPr fitToPage="1"/>
  </sheetPr>
  <dimension ref="A1:I95"/>
  <sheetViews>
    <sheetView showGridLines="0" zoomScale="125" zoomScaleNormal="125" zoomScalePageLayoutView="0" workbookViewId="0" topLeftCell="A1">
      <pane ySplit="9" topLeftCell="A43" activePane="bottomLeft" state="frozen"/>
      <selection pane="topLeft" activeCell="A1" sqref="A1"/>
      <selection pane="bottomLeft" activeCell="B11" sqref="B11"/>
    </sheetView>
  </sheetViews>
  <sheetFormatPr defaultColWidth="11.421875" defaultRowHeight="12.75"/>
  <cols>
    <col min="1" max="1" width="97.28125" style="1" customWidth="1"/>
    <col min="2" max="2" width="20.57421875" style="1" customWidth="1"/>
    <col min="3" max="3" width="3.28125" style="29" customWidth="1"/>
    <col min="4" max="16384" width="11.421875" style="1" customWidth="1"/>
  </cols>
  <sheetData>
    <row r="1" spans="1:3" ht="13.5">
      <c r="A1" s="329" t="s">
        <v>0</v>
      </c>
      <c r="B1" s="329"/>
      <c r="C1" s="3"/>
    </row>
    <row r="2" spans="1:3" ht="13.5">
      <c r="A2" s="329" t="s">
        <v>34</v>
      </c>
      <c r="B2" s="329"/>
      <c r="C2" s="3"/>
    </row>
    <row r="3" spans="1:3" ht="13.5">
      <c r="A3" s="329" t="s">
        <v>125</v>
      </c>
      <c r="B3" s="329"/>
      <c r="C3" s="4"/>
    </row>
    <row r="4" ht="6.75" customHeight="1">
      <c r="A4" s="4"/>
    </row>
    <row r="5" spans="1:3" ht="13.5">
      <c r="A5" s="7" t="s">
        <v>126</v>
      </c>
      <c r="B5" s="191" t="str">
        <f>'Ap. 2 Ingresos C. Benef.'!$I$5</f>
        <v>BIENIQUE</v>
      </c>
      <c r="C5" s="30"/>
    </row>
    <row r="6" ht="13.5">
      <c r="A6" s="4"/>
    </row>
    <row r="7" spans="1:3" ht="13.5">
      <c r="A7" s="28"/>
      <c r="B7" s="190" t="s">
        <v>127</v>
      </c>
      <c r="C7" s="1"/>
    </row>
    <row r="8" spans="1:3" ht="13.5">
      <c r="A8" s="189" t="s">
        <v>128</v>
      </c>
      <c r="B8" s="191" t="s">
        <v>42</v>
      </c>
      <c r="C8" s="1"/>
    </row>
    <row r="9" spans="1:3" ht="13.5">
      <c r="A9" s="187" t="s">
        <v>124</v>
      </c>
      <c r="B9" s="188">
        <f>SUM(B10,B20)</f>
        <v>3990897.66</v>
      </c>
      <c r="C9" s="1"/>
    </row>
    <row r="10" spans="1:9" ht="12.75" customHeight="1">
      <c r="A10" s="184" t="s">
        <v>46</v>
      </c>
      <c r="B10" s="185">
        <f>SUM(B11:B19)</f>
        <v>3849246.66</v>
      </c>
      <c r="C10" s="92"/>
      <c r="D10" s="378" t="s">
        <v>293</v>
      </c>
      <c r="E10" s="379"/>
      <c r="F10" s="379"/>
      <c r="G10" s="379"/>
      <c r="H10" s="380"/>
      <c r="I10" s="93"/>
    </row>
    <row r="11" spans="1:9" ht="13.5">
      <c r="A11" s="192" t="s">
        <v>129</v>
      </c>
      <c r="B11" s="31">
        <f>3741734-(3741734*0.01)</f>
        <v>3704316.66</v>
      </c>
      <c r="C11" s="91"/>
      <c r="D11" s="381"/>
      <c r="E11" s="382"/>
      <c r="F11" s="382"/>
      <c r="G11" s="382"/>
      <c r="H11" s="383"/>
      <c r="I11" s="93"/>
    </row>
    <row r="12" spans="1:9" ht="13.5">
      <c r="A12" s="193" t="s">
        <v>130</v>
      </c>
      <c r="B12" s="194">
        <v>74979</v>
      </c>
      <c r="C12" s="91"/>
      <c r="D12" s="381"/>
      <c r="E12" s="382"/>
      <c r="F12" s="382"/>
      <c r="G12" s="382"/>
      <c r="H12" s="383"/>
      <c r="I12" s="93"/>
    </row>
    <row r="13" spans="1:8" ht="13.5">
      <c r="A13" s="192" t="s">
        <v>131</v>
      </c>
      <c r="B13" s="31">
        <v>0</v>
      </c>
      <c r="C13" s="91"/>
      <c r="D13" s="384"/>
      <c r="E13" s="385"/>
      <c r="F13" s="385"/>
      <c r="G13" s="385"/>
      <c r="H13" s="386"/>
    </row>
    <row r="14" spans="1:8" ht="13.5">
      <c r="A14" s="193" t="s">
        <v>132</v>
      </c>
      <c r="B14" s="194">
        <v>69951</v>
      </c>
      <c r="C14" s="91"/>
      <c r="D14" s="93"/>
      <c r="E14" s="93"/>
      <c r="F14" s="93"/>
      <c r="G14" s="93"/>
      <c r="H14" s="93"/>
    </row>
    <row r="15" spans="1:3" ht="13.5">
      <c r="A15" s="192" t="s">
        <v>294</v>
      </c>
      <c r="B15" s="31">
        <v>0</v>
      </c>
      <c r="C15" s="91"/>
    </row>
    <row r="16" spans="1:3" ht="13.5">
      <c r="A16" s="193" t="s">
        <v>133</v>
      </c>
      <c r="B16" s="194">
        <v>0</v>
      </c>
      <c r="C16" s="91"/>
    </row>
    <row r="17" spans="1:3" ht="13.5">
      <c r="A17" s="192" t="s">
        <v>134</v>
      </c>
      <c r="B17" s="31">
        <v>0</v>
      </c>
      <c r="C17" s="91"/>
    </row>
    <row r="18" spans="1:3" ht="13.5">
      <c r="A18" s="193" t="s">
        <v>135</v>
      </c>
      <c r="B18" s="194">
        <v>0</v>
      </c>
      <c r="C18" s="91"/>
    </row>
    <row r="19" spans="1:3" ht="13.5">
      <c r="A19" s="192" t="s">
        <v>136</v>
      </c>
      <c r="B19" s="31">
        <v>0</v>
      </c>
      <c r="C19" s="91"/>
    </row>
    <row r="20" spans="1:3" ht="13.5">
      <c r="A20" s="186" t="s">
        <v>56</v>
      </c>
      <c r="B20" s="185">
        <f>SUM(B22,B24,B26,B28:B31,B33:B34,B36:B39,B41:B49,B51:B53)</f>
        <v>141651</v>
      </c>
      <c r="C20" s="91"/>
    </row>
    <row r="21" spans="1:3" ht="12.75" customHeight="1">
      <c r="A21" s="388" t="s">
        <v>57</v>
      </c>
      <c r="B21" s="388"/>
      <c r="C21" s="91"/>
    </row>
    <row r="22" spans="1:3" ht="13.5">
      <c r="A22" s="192" t="s">
        <v>137</v>
      </c>
      <c r="B22" s="195">
        <v>141651</v>
      </c>
      <c r="C22" s="91"/>
    </row>
    <row r="23" spans="1:3" ht="12.75" customHeight="1">
      <c r="A23" s="388" t="s">
        <v>60</v>
      </c>
      <c r="B23" s="388"/>
      <c r="C23" s="91"/>
    </row>
    <row r="24" spans="1:3" ht="13.5">
      <c r="A24" s="192" t="s">
        <v>138</v>
      </c>
      <c r="B24" s="195">
        <v>0</v>
      </c>
      <c r="C24" s="1"/>
    </row>
    <row r="25" spans="1:3" ht="12.75" customHeight="1">
      <c r="A25" s="388" t="s">
        <v>64</v>
      </c>
      <c r="B25" s="388"/>
      <c r="C25" s="1"/>
    </row>
    <row r="26" spans="1:3" ht="13.5">
      <c r="A26" s="196" t="s">
        <v>139</v>
      </c>
      <c r="B26" s="197">
        <v>0</v>
      </c>
      <c r="C26" s="1"/>
    </row>
    <row r="27" spans="1:3" ht="13.5">
      <c r="A27" s="387" t="s">
        <v>110</v>
      </c>
      <c r="B27" s="387"/>
      <c r="C27" s="1"/>
    </row>
    <row r="28" spans="1:3" ht="13.5">
      <c r="A28" s="192" t="s">
        <v>140</v>
      </c>
      <c r="B28" s="31">
        <v>0</v>
      </c>
      <c r="C28" s="1"/>
    </row>
    <row r="29" spans="1:3" ht="13.5">
      <c r="A29" s="193" t="s">
        <v>141</v>
      </c>
      <c r="B29" s="194">
        <v>0</v>
      </c>
      <c r="C29" s="1"/>
    </row>
    <row r="30" spans="1:3" ht="13.5">
      <c r="A30" s="192" t="s">
        <v>142</v>
      </c>
      <c r="B30" s="31">
        <v>0</v>
      </c>
      <c r="C30" s="1"/>
    </row>
    <row r="31" spans="1:3" ht="13.5">
      <c r="A31" s="193" t="s">
        <v>143</v>
      </c>
      <c r="B31" s="194">
        <v>0</v>
      </c>
      <c r="C31" s="1"/>
    </row>
    <row r="32" spans="1:3" ht="13.5">
      <c r="A32" s="387" t="s">
        <v>115</v>
      </c>
      <c r="B32" s="387"/>
      <c r="C32" s="1"/>
    </row>
    <row r="33" spans="1:3" ht="13.5">
      <c r="A33" s="192" t="s">
        <v>144</v>
      </c>
      <c r="B33" s="31">
        <v>0</v>
      </c>
      <c r="C33" s="1"/>
    </row>
    <row r="34" spans="1:3" ht="13.5">
      <c r="A34" s="193" t="s">
        <v>117</v>
      </c>
      <c r="B34" s="194">
        <v>0</v>
      </c>
      <c r="C34" s="1"/>
    </row>
    <row r="35" spans="1:3" ht="13.5">
      <c r="A35" s="388" t="s">
        <v>67</v>
      </c>
      <c r="B35" s="388"/>
      <c r="C35" s="1"/>
    </row>
    <row r="36" spans="1:3" ht="13.5">
      <c r="A36" s="192" t="s">
        <v>145</v>
      </c>
      <c r="B36" s="31">
        <v>0</v>
      </c>
      <c r="C36" s="1"/>
    </row>
    <row r="37" spans="1:3" ht="13.5">
      <c r="A37" s="193" t="s">
        <v>146</v>
      </c>
      <c r="B37" s="194">
        <v>0</v>
      </c>
      <c r="C37" s="1"/>
    </row>
    <row r="38" spans="1:3" ht="13.5">
      <c r="A38" s="192" t="s">
        <v>147</v>
      </c>
      <c r="B38" s="31">
        <v>0</v>
      </c>
      <c r="C38" s="1"/>
    </row>
    <row r="39" spans="1:3" ht="13.5">
      <c r="A39" s="193" t="s">
        <v>148</v>
      </c>
      <c r="B39" s="194">
        <v>0</v>
      </c>
      <c r="C39" s="1"/>
    </row>
    <row r="40" spans="1:3" ht="13.5">
      <c r="A40" s="388" t="s">
        <v>79</v>
      </c>
      <c r="B40" s="388"/>
      <c r="C40" s="1"/>
    </row>
    <row r="41" spans="1:3" ht="13.5">
      <c r="A41" s="192" t="s">
        <v>149</v>
      </c>
      <c r="B41" s="31">
        <v>0</v>
      </c>
      <c r="C41" s="1"/>
    </row>
    <row r="42" spans="1:3" ht="13.5">
      <c r="A42" s="193" t="s">
        <v>150</v>
      </c>
      <c r="B42" s="194">
        <v>0</v>
      </c>
      <c r="C42" s="1"/>
    </row>
    <row r="43" spans="1:3" ht="13.5">
      <c r="A43" s="192" t="s">
        <v>151</v>
      </c>
      <c r="B43" s="31">
        <v>0</v>
      </c>
      <c r="C43" s="1"/>
    </row>
    <row r="44" spans="1:3" ht="13.5">
      <c r="A44" s="193" t="s">
        <v>152</v>
      </c>
      <c r="B44" s="194">
        <v>0</v>
      </c>
      <c r="C44" s="1"/>
    </row>
    <row r="45" spans="1:3" ht="13.5">
      <c r="A45" s="192" t="s">
        <v>153</v>
      </c>
      <c r="B45" s="31">
        <v>0</v>
      </c>
      <c r="C45" s="1"/>
    </row>
    <row r="46" spans="1:3" ht="13.5">
      <c r="A46" s="193" t="s">
        <v>154</v>
      </c>
      <c r="B46" s="194">
        <v>0</v>
      </c>
      <c r="C46" s="1"/>
    </row>
    <row r="47" spans="1:3" ht="13.5">
      <c r="A47" s="192" t="s">
        <v>155</v>
      </c>
      <c r="B47" s="31">
        <v>0</v>
      </c>
      <c r="C47" s="1"/>
    </row>
    <row r="48" spans="1:3" ht="13.5">
      <c r="A48" s="193" t="s">
        <v>156</v>
      </c>
      <c r="B48" s="194">
        <v>0</v>
      </c>
      <c r="C48" s="1"/>
    </row>
    <row r="49" spans="1:3" ht="13.5">
      <c r="A49" s="192" t="s">
        <v>157</v>
      </c>
      <c r="B49" s="31">
        <v>0</v>
      </c>
      <c r="C49" s="1"/>
    </row>
    <row r="50" spans="1:3" ht="13.5">
      <c r="A50" s="387" t="s">
        <v>97</v>
      </c>
      <c r="B50" s="387"/>
      <c r="C50" s="1"/>
    </row>
    <row r="51" spans="1:3" ht="13.5">
      <c r="A51" s="192" t="s">
        <v>158</v>
      </c>
      <c r="B51" s="31">
        <v>0</v>
      </c>
      <c r="C51" s="1"/>
    </row>
    <row r="52" spans="1:3" ht="13.5">
      <c r="A52" s="193" t="s">
        <v>159</v>
      </c>
      <c r="B52" s="194">
        <v>0</v>
      </c>
      <c r="C52" s="1"/>
    </row>
    <row r="53" spans="1:2" ht="13.5">
      <c r="A53" s="192" t="s">
        <v>160</v>
      </c>
      <c r="B53" s="31">
        <v>0</v>
      </c>
    </row>
    <row r="54" spans="1:2" ht="13.5">
      <c r="A54" s="28"/>
      <c r="B54" s="32"/>
    </row>
    <row r="55" spans="1:2" ht="13.5">
      <c r="A55" s="33"/>
      <c r="B55" s="32"/>
    </row>
    <row r="56" spans="1:2" ht="13.5">
      <c r="A56" s="34"/>
      <c r="B56" s="34"/>
    </row>
    <row r="57" spans="1:2" ht="13.5">
      <c r="A57" s="34"/>
      <c r="B57" s="34"/>
    </row>
    <row r="58" spans="1:2" ht="13.5">
      <c r="A58" s="34"/>
      <c r="B58" s="34"/>
    </row>
    <row r="59" spans="1:2" ht="13.5">
      <c r="A59" s="34"/>
      <c r="B59" s="34"/>
    </row>
    <row r="60" spans="1:2" ht="13.5">
      <c r="A60" s="34"/>
      <c r="B60" s="34"/>
    </row>
    <row r="61" spans="1:2" ht="13.5">
      <c r="A61" s="34"/>
      <c r="B61" s="34"/>
    </row>
    <row r="62" spans="1:2" ht="13.5">
      <c r="A62" s="34"/>
      <c r="B62" s="34"/>
    </row>
    <row r="63" spans="1:2" ht="13.5">
      <c r="A63" s="34"/>
      <c r="B63" s="34"/>
    </row>
    <row r="64" spans="1:2" ht="13.5">
      <c r="A64" s="34"/>
      <c r="B64" s="34"/>
    </row>
    <row r="65" spans="1:2" ht="13.5">
      <c r="A65" s="34"/>
      <c r="B65" s="34"/>
    </row>
    <row r="66" spans="1:2" ht="13.5">
      <c r="A66" s="34"/>
      <c r="B66" s="34"/>
    </row>
    <row r="67" spans="1:2" ht="13.5">
      <c r="A67" s="34"/>
      <c r="B67" s="34"/>
    </row>
    <row r="68" spans="1:2" ht="13.5">
      <c r="A68" s="34"/>
      <c r="B68" s="34"/>
    </row>
    <row r="69" spans="1:2" ht="13.5">
      <c r="A69" s="34"/>
      <c r="B69" s="34"/>
    </row>
    <row r="70" spans="1:2" ht="13.5">
      <c r="A70" s="34"/>
      <c r="B70" s="34"/>
    </row>
    <row r="71" spans="1:2" ht="13.5">
      <c r="A71" s="34"/>
      <c r="B71" s="34"/>
    </row>
    <row r="72" spans="1:2" ht="13.5">
      <c r="A72" s="34"/>
      <c r="B72" s="34"/>
    </row>
    <row r="73" spans="1:2" ht="13.5">
      <c r="A73" s="34"/>
      <c r="B73" s="34"/>
    </row>
    <row r="74" spans="1:2" ht="13.5">
      <c r="A74" s="34"/>
      <c r="B74" s="34"/>
    </row>
    <row r="75" spans="1:2" ht="13.5">
      <c r="A75" s="34"/>
      <c r="B75" s="34"/>
    </row>
    <row r="76" spans="1:2" ht="13.5">
      <c r="A76" s="34"/>
      <c r="B76" s="34"/>
    </row>
    <row r="77" spans="1:2" ht="13.5">
      <c r="A77" s="34"/>
      <c r="B77" s="34"/>
    </row>
    <row r="78" spans="1:2" ht="13.5">
      <c r="A78" s="34"/>
      <c r="B78" s="34"/>
    </row>
    <row r="79" spans="1:2" ht="13.5">
      <c r="A79" s="34"/>
      <c r="B79" s="34"/>
    </row>
    <row r="80" spans="1:2" ht="13.5">
      <c r="A80" s="34"/>
      <c r="B80" s="34"/>
    </row>
    <row r="81" spans="1:2" ht="13.5">
      <c r="A81" s="34"/>
      <c r="B81" s="34"/>
    </row>
    <row r="82" spans="1:2" ht="13.5">
      <c r="A82" s="34"/>
      <c r="B82" s="34"/>
    </row>
    <row r="83" spans="1:2" ht="13.5">
      <c r="A83" s="34"/>
      <c r="B83" s="34"/>
    </row>
    <row r="84" spans="1:2" ht="13.5">
      <c r="A84" s="34"/>
      <c r="B84" s="34"/>
    </row>
    <row r="85" spans="1:2" ht="13.5">
      <c r="A85" s="34"/>
      <c r="B85" s="34"/>
    </row>
    <row r="86" spans="1:2" ht="13.5">
      <c r="A86" s="34"/>
      <c r="B86" s="34"/>
    </row>
    <row r="87" spans="1:2" ht="13.5">
      <c r="A87" s="34"/>
      <c r="B87" s="34"/>
    </row>
    <row r="88" spans="1:2" ht="13.5">
      <c r="A88" s="34"/>
      <c r="B88" s="34"/>
    </row>
    <row r="89" spans="1:2" ht="13.5">
      <c r="A89" s="34"/>
      <c r="B89" s="34"/>
    </row>
    <row r="90" spans="1:2" ht="13.5">
      <c r="A90" s="34"/>
      <c r="B90" s="34"/>
    </row>
    <row r="91" spans="1:2" ht="13.5">
      <c r="A91" s="34"/>
      <c r="B91" s="34"/>
    </row>
    <row r="92" spans="1:2" ht="13.5">
      <c r="A92" s="34"/>
      <c r="B92" s="34"/>
    </row>
    <row r="93" spans="1:2" ht="13.5">
      <c r="A93" s="34"/>
      <c r="B93" s="34"/>
    </row>
    <row r="94" spans="1:2" ht="13.5">
      <c r="A94" s="34"/>
      <c r="B94" s="34"/>
    </row>
    <row r="95" spans="1:2" ht="13.5">
      <c r="A95" s="34"/>
      <c r="B95" s="34"/>
    </row>
  </sheetData>
  <sheetProtection selectLockedCells="1" selectUnlockedCells="1"/>
  <mergeCells count="12">
    <mergeCell ref="A1:B1"/>
    <mergeCell ref="A2:B2"/>
    <mergeCell ref="A3:B3"/>
    <mergeCell ref="A21:B21"/>
    <mergeCell ref="A23:B23"/>
    <mergeCell ref="A25:B25"/>
    <mergeCell ref="D10:H13"/>
    <mergeCell ref="A27:B27"/>
    <mergeCell ref="A32:B32"/>
    <mergeCell ref="A35:B35"/>
    <mergeCell ref="A40:B40"/>
    <mergeCell ref="A50:B50"/>
  </mergeCells>
  <printOptions/>
  <pageMargins left="1.4097222222222223" right="0.5701388888888889" top="0.8604166666666666" bottom="0.8298611111111112" header="0.4201388888888889" footer="0"/>
  <pageSetup fitToHeight="1" fitToWidth="1" horizontalDpi="300" verticalDpi="300" orientation="portrait"/>
  <headerFooter alignWithMargins="0">
    <oddHeader>&amp;LSEPT-2004&amp;CDIRECTIVA D.B.S.A.
ORDINARIO&amp;R01-BS/0305/04</oddHeader>
    <oddFooter>&amp;LDEPARTAMENTO
RRHH Y GESTION&amp;C01-BS&amp;RPAG &amp;P</oddFooter>
  </headerFooter>
</worksheet>
</file>

<file path=xl/worksheets/sheet5.xml><?xml version="1.0" encoding="utf-8"?>
<worksheet xmlns="http://schemas.openxmlformats.org/spreadsheetml/2006/main" xmlns:r="http://schemas.openxmlformats.org/officeDocument/2006/relationships">
  <sheetPr codeName="Hoja3"/>
  <dimension ref="A1:IV20"/>
  <sheetViews>
    <sheetView zoomScalePageLayoutView="0" workbookViewId="0" topLeftCell="B1">
      <selection activeCell="D10" sqref="D10:F10"/>
    </sheetView>
  </sheetViews>
  <sheetFormatPr defaultColWidth="11.421875" defaultRowHeight="12.75"/>
  <cols>
    <col min="1" max="1" width="30.00390625" style="1" customWidth="1"/>
    <col min="2" max="2" width="36.57421875" style="1" customWidth="1"/>
    <col min="3" max="9" width="16.28125" style="1" customWidth="1"/>
    <col min="10" max="10" width="17.140625" style="1" customWidth="1"/>
    <col min="11" max="11" width="16.28125" style="1" customWidth="1"/>
    <col min="12" max="16384" width="11.421875" style="1" customWidth="1"/>
  </cols>
  <sheetData>
    <row r="1" spans="1:256" s="4" customFormat="1" ht="13.5">
      <c r="A1" s="329" t="s">
        <v>0</v>
      </c>
      <c r="B1" s="329"/>
      <c r="C1" s="329"/>
      <c r="D1" s="329"/>
      <c r="E1" s="329"/>
      <c r="F1" s="329"/>
      <c r="G1" s="329"/>
      <c r="H1" s="2"/>
      <c r="I1" s="2"/>
      <c r="J1" s="2"/>
      <c r="K1" s="3"/>
      <c r="IO1" s="1"/>
      <c r="IP1" s="1"/>
      <c r="IQ1" s="1"/>
      <c r="IR1" s="1"/>
      <c r="IS1" s="1"/>
      <c r="IT1" s="1"/>
      <c r="IU1" s="1"/>
      <c r="IV1" s="1"/>
    </row>
    <row r="2" spans="1:256" s="4" customFormat="1" ht="15.75" customHeight="1">
      <c r="A2" s="329" t="s">
        <v>161</v>
      </c>
      <c r="B2" s="329"/>
      <c r="C2" s="329"/>
      <c r="D2" s="329"/>
      <c r="E2" s="329"/>
      <c r="F2" s="329"/>
      <c r="G2" s="329"/>
      <c r="H2" s="2"/>
      <c r="I2" s="2"/>
      <c r="J2" s="2"/>
      <c r="K2" s="3"/>
      <c r="IO2" s="1"/>
      <c r="IP2" s="1"/>
      <c r="IQ2" s="1"/>
      <c r="IR2" s="1"/>
      <c r="IS2" s="1"/>
      <c r="IT2" s="1"/>
      <c r="IU2" s="1"/>
      <c r="IV2" s="1"/>
    </row>
    <row r="3" spans="1:256" s="4" customFormat="1" ht="18" customHeight="1">
      <c r="A3" s="329" t="s">
        <v>162</v>
      </c>
      <c r="B3" s="329"/>
      <c r="C3" s="329"/>
      <c r="D3" s="329"/>
      <c r="E3" s="329"/>
      <c r="F3" s="329"/>
      <c r="G3" s="329"/>
      <c r="H3" s="2"/>
      <c r="I3" s="2"/>
      <c r="J3" s="2"/>
      <c r="K3" s="3"/>
      <c r="IO3" s="1"/>
      <c r="IP3" s="1"/>
      <c r="IQ3" s="1"/>
      <c r="IR3" s="1"/>
      <c r="IS3" s="1"/>
      <c r="IT3" s="1"/>
      <c r="IU3" s="1"/>
      <c r="IV3" s="1"/>
    </row>
    <row r="4" spans="1:256" s="4" customFormat="1" ht="11.25" customHeight="1">
      <c r="A4" s="1"/>
      <c r="B4" s="1"/>
      <c r="IO4" s="1"/>
      <c r="IP4" s="1"/>
      <c r="IQ4" s="1"/>
      <c r="IR4" s="1"/>
      <c r="IS4" s="1"/>
      <c r="IT4" s="1"/>
      <c r="IU4" s="1"/>
      <c r="IV4" s="1"/>
    </row>
    <row r="5" spans="1:256" s="4" customFormat="1" ht="12" customHeight="1">
      <c r="A5" s="35" t="s">
        <v>3</v>
      </c>
      <c r="B5" s="35"/>
      <c r="C5" s="391" t="str">
        <f>'Ap. 2 Ingresos C. Benef.'!$I$5</f>
        <v>BIENIQUE</v>
      </c>
      <c r="D5" s="391"/>
      <c r="E5" s="1"/>
      <c r="F5" s="1"/>
      <c r="G5" s="1"/>
      <c r="H5" s="1"/>
      <c r="I5" s="3"/>
      <c r="IN5" s="1"/>
      <c r="IO5" s="1"/>
      <c r="IP5" s="1"/>
      <c r="IQ5" s="1"/>
      <c r="IR5" s="1"/>
      <c r="IS5" s="1"/>
      <c r="IT5" s="1"/>
      <c r="IU5" s="1"/>
      <c r="IV5" s="1"/>
    </row>
    <row r="6" spans="1:256" s="4" customFormat="1" ht="12" customHeight="1">
      <c r="A6" s="1"/>
      <c r="B6" s="1"/>
      <c r="C6" s="1"/>
      <c r="D6" s="1"/>
      <c r="E6" s="7"/>
      <c r="F6" s="8"/>
      <c r="G6" s="9"/>
      <c r="H6" s="9"/>
      <c r="I6" s="9"/>
      <c r="IO6" s="1"/>
      <c r="IP6" s="1"/>
      <c r="IQ6" s="1"/>
      <c r="IR6" s="1"/>
      <c r="IS6" s="1"/>
      <c r="IT6" s="1"/>
      <c r="IU6" s="1"/>
      <c r="IV6" s="1"/>
    </row>
    <row r="7" spans="1:256" s="19" customFormat="1" ht="16.5" customHeight="1" thickBot="1">
      <c r="A7" s="17"/>
      <c r="B7" s="17"/>
      <c r="C7" s="18"/>
      <c r="D7" s="18"/>
      <c r="E7" s="18"/>
      <c r="F7" s="18"/>
      <c r="G7" s="18"/>
      <c r="H7" s="18"/>
      <c r="I7" s="18"/>
      <c r="IO7" s="23"/>
      <c r="IP7" s="23"/>
      <c r="IQ7" s="23"/>
      <c r="IR7" s="23"/>
      <c r="IS7" s="23"/>
      <c r="IT7" s="23"/>
      <c r="IU7" s="23"/>
      <c r="IV7" s="23"/>
    </row>
    <row r="8" spans="1:10" ht="12.75" customHeight="1">
      <c r="A8" s="392" t="str">
        <f>'Ap. 2 Ingresos C. Benef.'!A15</f>
        <v>Centro Beneficio</v>
      </c>
      <c r="B8" s="394" t="str">
        <f>'Ap. 2 Ingresos C. Benef.'!B15</f>
        <v>Prestación [Unidad]</v>
      </c>
      <c r="C8" s="355" t="str">
        <f>'Ap. 2 Ingresos C. Benef.'!D15</f>
        <v>Matrícula</v>
      </c>
      <c r="D8" s="356"/>
      <c r="E8" s="356"/>
      <c r="F8" s="396"/>
      <c r="G8" s="346" t="str">
        <f>'Ap. 2 Ingresos C. Benef.'!H15</f>
        <v>Mensualidad</v>
      </c>
      <c r="H8" s="347"/>
      <c r="I8" s="347"/>
      <c r="J8" s="397"/>
    </row>
    <row r="9" spans="1:10" ht="41.25">
      <c r="A9" s="393">
        <f>'Ap. 2 Ingresos C. Benef.'!A16</f>
        <v>0</v>
      </c>
      <c r="B9" s="395">
        <f>'Ap. 2 Ingresos C. Benef.'!B16</f>
        <v>0</v>
      </c>
      <c r="C9" s="198" t="str">
        <f>'Ap. 2 Ingresos C. Benef.'!D16</f>
        <v>Personal Servicio Activo Armada y otras FFAA</v>
      </c>
      <c r="D9" s="104" t="str">
        <f>'Ap. 2 Ingresos C. Benef.'!E16</f>
        <v>Gendarmeria y PDI</v>
      </c>
      <c r="E9" s="104" t="str">
        <f>'Ap. 2 Ingresos C. Benef.'!F16</f>
        <v>En retiro</v>
      </c>
      <c r="F9" s="199" t="str">
        <f>'Ap. 2 Ingresos C. Benef.'!G16</f>
        <v>Casos Especiales</v>
      </c>
      <c r="G9" s="198" t="str">
        <f>'Ap. 2 Ingresos C. Benef.'!H16</f>
        <v>Personal Servicio Activo Armada y otras FFAA</v>
      </c>
      <c r="H9" s="104" t="str">
        <f>'Ap. 2 Ingresos C. Benef.'!I16</f>
        <v>Gendarmeria y PDI</v>
      </c>
      <c r="I9" s="104" t="str">
        <f>'Ap. 2 Ingresos C. Benef.'!J16</f>
        <v>En retiro</v>
      </c>
      <c r="J9" s="200" t="str">
        <f>'Ap. 2 Ingresos C. Benef.'!K16</f>
        <v>Casos Especiales</v>
      </c>
    </row>
    <row r="10" spans="1:10" ht="13.5">
      <c r="A10" s="389" t="str">
        <f>'Ap. 2 Ingresos C. Benef.'!A17</f>
        <v>JARDIN INFANTIL "PEQUEÑOS HEROES"</v>
      </c>
      <c r="B10" s="201" t="str">
        <f>'Ap. 2 Ingresos C. Benef.'!B17</f>
        <v>Jardín [Media Jornada]</v>
      </c>
      <c r="C10" s="202">
        <f>'Ap. 2 Ingresos C. Benef.'!D17</f>
        <v>56200</v>
      </c>
      <c r="D10" s="203">
        <f>'Ap. 2 Ingresos C. Benef.'!E17</f>
        <v>67400</v>
      </c>
      <c r="E10" s="203">
        <f>'Ap. 2 Ingresos C. Benef.'!F17</f>
        <v>96400</v>
      </c>
      <c r="F10" s="204">
        <f>'Ap. 2 Ingresos C. Benef.'!G17</f>
        <v>141828</v>
      </c>
      <c r="G10" s="205">
        <f>'Ap. 2 Ingresos C. Benef.'!H17</f>
        <v>56200</v>
      </c>
      <c r="H10" s="203">
        <f>'Ap. 2 Ingresos C. Benef.'!I17</f>
        <v>67400</v>
      </c>
      <c r="I10" s="203">
        <f>'Ap. 2 Ingresos C. Benef.'!J17</f>
        <v>96400</v>
      </c>
      <c r="J10" s="206">
        <f>'Ap. 2 Ingresos C. Benef.'!K17</f>
        <v>141828</v>
      </c>
    </row>
    <row r="11" spans="1:10" ht="13.5">
      <c r="A11" s="389">
        <f>'Ap. 2 Ingresos C. Benef.'!A20</f>
        <v>0</v>
      </c>
      <c r="B11" s="213" t="str">
        <f>'Ap. 2 Ingresos C. Benef.'!B20</f>
        <v>Jardín [Jornada Completa]     </v>
      </c>
      <c r="C11" s="214">
        <f>'Ap. 2 Ingresos C. Benef.'!D20</f>
        <v>93700</v>
      </c>
      <c r="D11" s="215">
        <f>'Ap. 2 Ingresos C. Benef.'!E20</f>
        <v>112400</v>
      </c>
      <c r="E11" s="215">
        <f>'Ap. 2 Ingresos C. Benef.'!F20</f>
        <v>157800</v>
      </c>
      <c r="F11" s="216">
        <f>'Ap. 2 Ingresos C. Benef.'!G20</f>
        <v>250900</v>
      </c>
      <c r="G11" s="217">
        <f>'Ap. 2 Ingresos C. Benef.'!H20</f>
        <v>93700</v>
      </c>
      <c r="H11" s="215">
        <f>'Ap. 2 Ingresos C. Benef.'!I20</f>
        <v>112400</v>
      </c>
      <c r="I11" s="215">
        <f>'Ap. 2 Ingresos C. Benef.'!J20</f>
        <v>157800</v>
      </c>
      <c r="J11" s="218">
        <f>'Ap. 2 Ingresos C. Benef.'!K20</f>
        <v>250900</v>
      </c>
    </row>
    <row r="12" spans="1:10" ht="14.25" thickBot="1">
      <c r="A12" s="390">
        <f>'Ap. 2 Ingresos C. Benef.'!A23</f>
        <v>0</v>
      </c>
      <c r="B12" s="207" t="str">
        <f>'Ap. 2 Ingresos C. Benef.'!B23</f>
        <v>Jardín [Media Jornada con Colación y Almuerzo] </v>
      </c>
      <c r="C12" s="208">
        <f>'Ap. 2 Ingresos C. Benef.'!D23</f>
        <v>80300</v>
      </c>
      <c r="D12" s="209">
        <f>'Ap. 2 Ingresos C. Benef.'!E23</f>
        <v>96400</v>
      </c>
      <c r="E12" s="209">
        <f>'Ap. 2 Ingresos C. Benef.'!F23</f>
        <v>131100</v>
      </c>
      <c r="F12" s="210">
        <f>'Ap. 2 Ingresos C. Benef.'!G23</f>
        <v>204600</v>
      </c>
      <c r="G12" s="211">
        <f>'Ap. 2 Ingresos C. Benef.'!H23</f>
        <v>80300</v>
      </c>
      <c r="H12" s="209">
        <f>'Ap. 2 Ingresos C. Benef.'!I23</f>
        <v>96400</v>
      </c>
      <c r="I12" s="209">
        <f>'Ap. 2 Ingresos C. Benef.'!J23</f>
        <v>131100</v>
      </c>
      <c r="J12" s="212">
        <f>'Ap. 2 Ingresos C. Benef.'!K23</f>
        <v>204600</v>
      </c>
    </row>
    <row r="18" ht="13.5">
      <c r="C18" s="202"/>
    </row>
    <row r="19" ht="13.5">
      <c r="C19" s="214"/>
    </row>
    <row r="20" ht="14.25" thickBot="1">
      <c r="C20" s="208"/>
    </row>
  </sheetData>
  <sheetProtection selectLockedCells="1" selectUnlockedCells="1"/>
  <mergeCells count="9">
    <mergeCell ref="A10:A12"/>
    <mergeCell ref="A1:G1"/>
    <mergeCell ref="A2:G2"/>
    <mergeCell ref="A3:G3"/>
    <mergeCell ref="C5:D5"/>
    <mergeCell ref="A8:A9"/>
    <mergeCell ref="B8:B9"/>
    <mergeCell ref="C8:F8"/>
    <mergeCell ref="G8:J8"/>
  </mergeCells>
  <printOptions/>
  <pageMargins left="0.25" right="0.25" top="0.75" bottom="0.75" header="0.3" footer="0.3"/>
  <pageSetup horizontalDpi="600" verticalDpi="600" orientation="landscape" paperSize="5" scale="80" r:id="rId1"/>
  <headerFooter alignWithMargins="0">
    <oddHeader>&amp;LSEPT - 2004&amp;CDIRECTIVA D.B.S.A.
ORDINARIA&amp;R01-BS/0305/04</oddHeader>
    <oddFooter>&amp;LDEPARTAMENTO
RRHH Y GESTION&amp;C01-BS&amp;RPAG &amp;P</oddFooter>
  </headerFooter>
</worksheet>
</file>

<file path=xl/worksheets/sheet6.xml><?xml version="1.0" encoding="utf-8"?>
<worksheet xmlns="http://schemas.openxmlformats.org/spreadsheetml/2006/main" xmlns:r="http://schemas.openxmlformats.org/officeDocument/2006/relationships">
  <dimension ref="A4:AV37"/>
  <sheetViews>
    <sheetView zoomScalePageLayoutView="0" workbookViewId="0" topLeftCell="A1">
      <selection activeCell="A7" sqref="A7:IV23"/>
    </sheetView>
  </sheetViews>
  <sheetFormatPr defaultColWidth="11.421875" defaultRowHeight="12.75"/>
  <cols>
    <col min="1" max="1" width="11.421875" style="0" customWidth="1"/>
    <col min="2" max="2" width="9.00390625" style="0" customWidth="1"/>
    <col min="3" max="3" width="45.57421875" style="0" bestFit="1" customWidth="1"/>
    <col min="4" max="4" width="13.57421875" style="0" customWidth="1"/>
    <col min="5" max="5" width="36.28125" style="0" customWidth="1"/>
    <col min="6" max="6" width="11.7109375" style="0" bestFit="1" customWidth="1"/>
    <col min="7" max="7" width="9.57421875" style="0" hidden="1" customWidth="1"/>
    <col min="8" max="8" width="13.7109375" style="0" hidden="1" customWidth="1"/>
    <col min="9" max="9" width="9.7109375" style="0" hidden="1" customWidth="1"/>
    <col min="10" max="10" width="16.28125" style="0" hidden="1" customWidth="1"/>
    <col min="11" max="11" width="20.8515625" style="0" hidden="1" customWidth="1"/>
    <col min="12" max="12" width="14.28125" style="0" hidden="1" customWidth="1"/>
    <col min="13" max="14" width="11.57421875" style="42" hidden="1" customWidth="1"/>
    <col min="15" max="28" width="11.421875" style="42" hidden="1" customWidth="1"/>
    <col min="29" max="29" width="9.140625" style="42" hidden="1" customWidth="1"/>
    <col min="30" max="30" width="11.57421875" style="42" hidden="1" customWidth="1"/>
    <col min="31" max="32" width="11.421875" style="42" customWidth="1"/>
    <col min="33" max="33" width="8.57421875" style="42" customWidth="1"/>
    <col min="34" max="34" width="8.7109375" style="42" customWidth="1"/>
    <col min="35" max="35" width="9.00390625" style="42" customWidth="1"/>
    <col min="36" max="36" width="10.28125" style="42" customWidth="1"/>
    <col min="37" max="37" width="12.00390625" style="42" customWidth="1"/>
    <col min="38" max="38" width="11.57421875" style="42" customWidth="1"/>
    <col min="39" max="39" width="9.57421875" style="42" customWidth="1"/>
    <col min="40" max="40" width="9.00390625" style="42" customWidth="1"/>
    <col min="41" max="42" width="11.421875" style="42" customWidth="1"/>
    <col min="43" max="43" width="15.00390625" style="42" customWidth="1"/>
    <col min="44" max="44" width="9.28125" style="42" customWidth="1"/>
    <col min="45" max="45" width="9.00390625" style="42" customWidth="1"/>
    <col min="46" max="46" width="12.421875" style="0" bestFit="1" customWidth="1"/>
    <col min="47" max="47" width="30.8515625" style="0" bestFit="1" customWidth="1"/>
    <col min="48" max="48" width="52.57421875" style="0" bestFit="1" customWidth="1"/>
    <col min="49" max="52" width="0" style="0" hidden="1" customWidth="1"/>
  </cols>
  <sheetData>
    <row r="4" ht="17.25">
      <c r="B4" s="88" t="s">
        <v>257</v>
      </c>
    </row>
    <row r="6" spans="1:48" ht="13.5">
      <c r="A6" s="78"/>
      <c r="B6" s="78"/>
      <c r="C6" s="78"/>
      <c r="D6" s="78"/>
      <c r="E6" s="78"/>
      <c r="F6" s="78"/>
      <c r="G6" s="78"/>
      <c r="H6" s="78"/>
      <c r="I6" s="78"/>
      <c r="J6" s="78"/>
      <c r="K6" s="78"/>
      <c r="L6" s="78"/>
      <c r="M6" s="79"/>
      <c r="N6" s="80"/>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U6" s="52" t="s">
        <v>225</v>
      </c>
      <c r="AV6" s="52">
        <f>798000+798000</f>
        <v>1596000</v>
      </c>
    </row>
    <row r="7" spans="1:48" ht="13.5">
      <c r="A7" s="78"/>
      <c r="B7" s="78"/>
      <c r="C7" s="78"/>
      <c r="D7" s="78"/>
      <c r="E7" s="78"/>
      <c r="F7" s="78"/>
      <c r="G7" s="84" t="s">
        <v>177</v>
      </c>
      <c r="H7" s="85"/>
      <c r="I7" s="405" t="s">
        <v>178</v>
      </c>
      <c r="J7" s="406"/>
      <c r="K7" s="405" t="s">
        <v>179</v>
      </c>
      <c r="L7" s="406"/>
      <c r="M7" s="398" t="s">
        <v>180</v>
      </c>
      <c r="N7" s="399"/>
      <c r="O7" s="398" t="s">
        <v>181</v>
      </c>
      <c r="P7" s="399"/>
      <c r="Q7" s="398" t="s">
        <v>182</v>
      </c>
      <c r="R7" s="399"/>
      <c r="S7" s="398" t="s">
        <v>183</v>
      </c>
      <c r="T7" s="399"/>
      <c r="U7" s="398" t="s">
        <v>184</v>
      </c>
      <c r="V7" s="399"/>
      <c r="W7" s="398" t="s">
        <v>203</v>
      </c>
      <c r="X7" s="399"/>
      <c r="Y7" s="398" t="s">
        <v>185</v>
      </c>
      <c r="Z7" s="399"/>
      <c r="AA7" s="398" t="s">
        <v>186</v>
      </c>
      <c r="AB7" s="399"/>
      <c r="AC7" s="398" t="s">
        <v>187</v>
      </c>
      <c r="AD7" s="399"/>
      <c r="AE7" s="401" t="s">
        <v>188</v>
      </c>
      <c r="AF7" s="401"/>
      <c r="AG7" s="402" t="s">
        <v>189</v>
      </c>
      <c r="AH7" s="403"/>
      <c r="AI7" s="404"/>
      <c r="AJ7" s="45" t="s">
        <v>190</v>
      </c>
      <c r="AK7" s="401" t="s">
        <v>191</v>
      </c>
      <c r="AL7" s="401"/>
      <c r="AM7" s="401"/>
      <c r="AN7" s="401"/>
      <c r="AO7" s="45" t="s">
        <v>188</v>
      </c>
      <c r="AP7" s="46" t="s">
        <v>188</v>
      </c>
      <c r="AQ7" s="45" t="s">
        <v>192</v>
      </c>
      <c r="AR7" s="79"/>
      <c r="AS7" s="79"/>
      <c r="AU7" s="52" t="s">
        <v>205</v>
      </c>
      <c r="AV7" s="52">
        <v>1540000</v>
      </c>
    </row>
    <row r="8" spans="1:48" ht="13.5">
      <c r="A8" s="78"/>
      <c r="B8" s="43"/>
      <c r="C8" s="43" t="s">
        <v>193</v>
      </c>
      <c r="D8" s="43" t="s">
        <v>194</v>
      </c>
      <c r="E8" s="43" t="s">
        <v>195</v>
      </c>
      <c r="F8" s="43" t="s">
        <v>196</v>
      </c>
      <c r="G8" s="44" t="s">
        <v>197</v>
      </c>
      <c r="H8" s="44" t="s">
        <v>198</v>
      </c>
      <c r="I8" s="44" t="s">
        <v>197</v>
      </c>
      <c r="J8" s="44" t="s">
        <v>198</v>
      </c>
      <c r="K8" s="44" t="s">
        <v>197</v>
      </c>
      <c r="L8" s="44" t="s">
        <v>198</v>
      </c>
      <c r="M8" s="44" t="s">
        <v>197</v>
      </c>
      <c r="N8" s="44" t="s">
        <v>198</v>
      </c>
      <c r="O8" s="44" t="s">
        <v>197</v>
      </c>
      <c r="P8" s="44" t="s">
        <v>198</v>
      </c>
      <c r="Q8" s="44" t="s">
        <v>197</v>
      </c>
      <c r="R8" s="44" t="s">
        <v>198</v>
      </c>
      <c r="S8" s="44" t="s">
        <v>197</v>
      </c>
      <c r="T8" s="44" t="s">
        <v>198</v>
      </c>
      <c r="U8" s="44" t="s">
        <v>197</v>
      </c>
      <c r="V8" s="44" t="s">
        <v>198</v>
      </c>
      <c r="W8" s="44" t="s">
        <v>197</v>
      </c>
      <c r="X8" s="44" t="s">
        <v>198</v>
      </c>
      <c r="Y8" s="44" t="s">
        <v>197</v>
      </c>
      <c r="Z8" s="44" t="s">
        <v>198</v>
      </c>
      <c r="AA8" s="44" t="s">
        <v>197</v>
      </c>
      <c r="AB8" s="44" t="s">
        <v>198</v>
      </c>
      <c r="AC8" s="44" t="s">
        <v>197</v>
      </c>
      <c r="AD8" s="44" t="s">
        <v>198</v>
      </c>
      <c r="AE8" s="44" t="s">
        <v>197</v>
      </c>
      <c r="AF8" s="44" t="s">
        <v>198</v>
      </c>
      <c r="AG8" s="44" t="s">
        <v>199</v>
      </c>
      <c r="AH8" s="44" t="s">
        <v>200</v>
      </c>
      <c r="AI8" s="44" t="s">
        <v>201</v>
      </c>
      <c r="AJ8" s="44" t="s">
        <v>202</v>
      </c>
      <c r="AK8" s="44" t="s">
        <v>203</v>
      </c>
      <c r="AL8" s="44" t="s">
        <v>204</v>
      </c>
      <c r="AM8" s="44" t="s">
        <v>205</v>
      </c>
      <c r="AN8" s="44" t="s">
        <v>206</v>
      </c>
      <c r="AO8" s="44" t="s">
        <v>207</v>
      </c>
      <c r="AP8" s="47" t="s">
        <v>188</v>
      </c>
      <c r="AQ8" s="44" t="s">
        <v>208</v>
      </c>
      <c r="AR8" s="79"/>
      <c r="AS8" s="79"/>
      <c r="AU8" s="51" t="s">
        <v>188</v>
      </c>
      <c r="AV8" s="55">
        <f>SUM(AV6:AV7)</f>
        <v>3136000</v>
      </c>
    </row>
    <row r="9" spans="1:45" s="275" customFormat="1" ht="12.75">
      <c r="A9" s="272"/>
      <c r="B9" s="273">
        <v>321009</v>
      </c>
      <c r="C9" s="273" t="s">
        <v>210</v>
      </c>
      <c r="D9" s="273" t="s">
        <v>211</v>
      </c>
      <c r="E9" s="273" t="s">
        <v>284</v>
      </c>
      <c r="F9" s="273">
        <v>30</v>
      </c>
      <c r="G9" s="47">
        <v>482620.014</v>
      </c>
      <c r="H9" s="47">
        <v>495999.294</v>
      </c>
      <c r="I9" s="47">
        <v>494084.098</v>
      </c>
      <c r="J9" s="47">
        <v>507463.378</v>
      </c>
      <c r="K9" s="47">
        <v>494084.098</v>
      </c>
      <c r="L9" s="47">
        <v>507463.378</v>
      </c>
      <c r="M9" s="47">
        <v>494084.098</v>
      </c>
      <c r="N9" s="47">
        <v>507463.378</v>
      </c>
      <c r="O9" s="47">
        <v>494084.098</v>
      </c>
      <c r="P9" s="47">
        <v>507463.378</v>
      </c>
      <c r="Q9" s="47">
        <v>494084.098</v>
      </c>
      <c r="R9" s="47">
        <v>507463.378</v>
      </c>
      <c r="S9" s="47">
        <v>494084.098</v>
      </c>
      <c r="T9" s="47">
        <v>507463.378</v>
      </c>
      <c r="U9" s="47">
        <v>494084.098</v>
      </c>
      <c r="V9" s="47">
        <v>507463.378</v>
      </c>
      <c r="W9" s="47">
        <v>494084.098</v>
      </c>
      <c r="X9" s="47">
        <v>507463.378</v>
      </c>
      <c r="Y9" s="47">
        <v>494084.098</v>
      </c>
      <c r="Z9" s="47">
        <v>507463.378</v>
      </c>
      <c r="AA9" s="47">
        <v>494084.098</v>
      </c>
      <c r="AB9" s="47">
        <v>507463.378</v>
      </c>
      <c r="AC9" s="47">
        <v>494084.098</v>
      </c>
      <c r="AD9" s="47">
        <v>507463.378</v>
      </c>
      <c r="AE9" s="47">
        <f>+G9+I9+K9+M9+O9+Q9+S9+U9+W9+Y9+AA9+AC9</f>
        <v>5917545.092000001</v>
      </c>
      <c r="AF9" s="47">
        <f>+H9+J9+L9+N9+P9+R9+T9+V9+X9+Z9+AB9+AD9</f>
        <v>6078096.452000001</v>
      </c>
      <c r="AG9" s="47">
        <v>69362.76855800001</v>
      </c>
      <c r="AH9" s="47">
        <v>77806.93168680002</v>
      </c>
      <c r="AI9" s="47">
        <v>144757.08220800004</v>
      </c>
      <c r="AJ9" s="47">
        <f>SUM(AG9:AI9)</f>
        <v>291926.7824528001</v>
      </c>
      <c r="AK9" s="47">
        <v>57000</v>
      </c>
      <c r="AL9" s="47">
        <v>57000</v>
      </c>
      <c r="AM9" s="47">
        <v>110000</v>
      </c>
      <c r="AN9" s="47">
        <v>274000</v>
      </c>
      <c r="AO9" s="47">
        <f>SUM(AK9:AN9)</f>
        <v>498000</v>
      </c>
      <c r="AP9" s="47">
        <f>+AO9+AJ9+AF9</f>
        <v>6868023.234452802</v>
      </c>
      <c r="AQ9" s="47">
        <f>+AF9+AJ9</f>
        <v>6370023.234452802</v>
      </c>
      <c r="AR9" s="274"/>
      <c r="AS9" s="274"/>
    </row>
    <row r="10" spans="1:45" ht="12.75">
      <c r="A10" s="78"/>
      <c r="B10" s="43">
        <v>321009</v>
      </c>
      <c r="C10" s="43" t="s">
        <v>260</v>
      </c>
      <c r="D10" s="43" t="s">
        <v>281</v>
      </c>
      <c r="E10" s="43" t="s">
        <v>212</v>
      </c>
      <c r="F10" s="43">
        <v>30</v>
      </c>
      <c r="G10" s="44">
        <v>784537.43</v>
      </c>
      <c r="H10" s="44">
        <v>797916.71</v>
      </c>
      <c r="I10" s="44">
        <v>784537.43</v>
      </c>
      <c r="J10" s="44">
        <v>797916.71</v>
      </c>
      <c r="K10" s="44">
        <v>784537.43</v>
      </c>
      <c r="L10" s="44">
        <v>797916.71</v>
      </c>
      <c r="M10" s="44">
        <v>784537.43</v>
      </c>
      <c r="N10" s="44">
        <v>797916.71</v>
      </c>
      <c r="O10" s="44">
        <v>784537.43</v>
      </c>
      <c r="P10" s="44">
        <v>797916.71</v>
      </c>
      <c r="Q10" s="44">
        <v>784537.43</v>
      </c>
      <c r="R10" s="44">
        <v>797916.71</v>
      </c>
      <c r="S10" s="44">
        <v>784537.43</v>
      </c>
      <c r="T10" s="44">
        <v>797916.71</v>
      </c>
      <c r="U10" s="44">
        <v>784537.43</v>
      </c>
      <c r="V10" s="44">
        <v>797916.71</v>
      </c>
      <c r="W10" s="44">
        <v>784537.43</v>
      </c>
      <c r="X10" s="44">
        <v>797916.71</v>
      </c>
      <c r="Y10" s="44">
        <v>784537.43</v>
      </c>
      <c r="Z10" s="44">
        <v>797916.71</v>
      </c>
      <c r="AA10" s="44">
        <v>784537.43</v>
      </c>
      <c r="AB10" s="44">
        <v>797916.71</v>
      </c>
      <c r="AC10" s="44">
        <v>784537.43</v>
      </c>
      <c r="AD10" s="44">
        <v>797916.71</v>
      </c>
      <c r="AE10" s="44">
        <f aca="true" t="shared" si="0" ref="AE10:AF21">+G10+I10+K10+M10+O10+Q10+S10+U10+W10+Y10+AA10+AC10</f>
        <v>9414449.159999998</v>
      </c>
      <c r="AF10" s="44">
        <f t="shared" si="0"/>
        <v>9575000.52</v>
      </c>
      <c r="AG10" s="44">
        <v>109577.16533999996</v>
      </c>
      <c r="AH10" s="44">
        <v>122916.99416399999</v>
      </c>
      <c r="AI10" s="44">
        <v>228682.77983999994</v>
      </c>
      <c r="AJ10" s="44">
        <f aca="true" t="shared" si="1" ref="AJ10:AJ21">SUM(AG10:AI10)</f>
        <v>461176.9393439999</v>
      </c>
      <c r="AK10" s="44">
        <v>57000</v>
      </c>
      <c r="AL10" s="44">
        <v>57000</v>
      </c>
      <c r="AM10" s="255">
        <v>78000</v>
      </c>
      <c r="AN10" s="255">
        <v>138000</v>
      </c>
      <c r="AO10" s="44">
        <f aca="true" t="shared" si="2" ref="AO10:AO21">SUM(AK10:AN10)</f>
        <v>330000</v>
      </c>
      <c r="AP10" s="44">
        <f aca="true" t="shared" si="3" ref="AP10:AP21">+AO10+AJ10+AF10</f>
        <v>10366177.459344</v>
      </c>
      <c r="AQ10" s="44">
        <f aca="true" t="shared" si="4" ref="AQ10:AQ22">+AF10+AJ10</f>
        <v>10036177.459344</v>
      </c>
      <c r="AR10" s="79"/>
      <c r="AS10" s="79"/>
    </row>
    <row r="11" spans="1:45" ht="12.75">
      <c r="A11" s="78"/>
      <c r="B11" s="43">
        <v>321009</v>
      </c>
      <c r="C11" s="43" t="s">
        <v>276</v>
      </c>
      <c r="D11" s="43" t="s">
        <v>214</v>
      </c>
      <c r="E11" s="43" t="s">
        <v>209</v>
      </c>
      <c r="F11" s="43">
        <v>30</v>
      </c>
      <c r="G11" s="44">
        <v>347360.078</v>
      </c>
      <c r="H11" s="44">
        <v>363176.596</v>
      </c>
      <c r="I11" s="44">
        <v>347360.078</v>
      </c>
      <c r="J11" s="44">
        <v>363176.596</v>
      </c>
      <c r="K11" s="44">
        <v>357091.316</v>
      </c>
      <c r="L11" s="44">
        <v>372907.834</v>
      </c>
      <c r="M11" s="44">
        <v>357091.316</v>
      </c>
      <c r="N11" s="44">
        <v>372907.834</v>
      </c>
      <c r="O11" s="44">
        <v>357091.316</v>
      </c>
      <c r="P11" s="44">
        <v>372907.834</v>
      </c>
      <c r="Q11" s="44">
        <v>357091.316</v>
      </c>
      <c r="R11" s="44">
        <v>372907.834</v>
      </c>
      <c r="S11" s="44">
        <v>357091.316</v>
      </c>
      <c r="T11" s="44">
        <v>372907.834</v>
      </c>
      <c r="U11" s="44">
        <v>357091.316</v>
      </c>
      <c r="V11" s="44">
        <v>372907.834</v>
      </c>
      <c r="W11" s="44">
        <v>357091.316</v>
      </c>
      <c r="X11" s="44">
        <v>372907.834</v>
      </c>
      <c r="Y11" s="44">
        <v>357091.316</v>
      </c>
      <c r="Z11" s="44">
        <v>372907.834</v>
      </c>
      <c r="AA11" s="44">
        <v>357091.316</v>
      </c>
      <c r="AB11" s="44">
        <v>372907.834</v>
      </c>
      <c r="AC11" s="44">
        <v>357091.316</v>
      </c>
      <c r="AD11" s="44">
        <v>372907.834</v>
      </c>
      <c r="AE11" s="44">
        <f t="shared" si="0"/>
        <v>4265633.316000001</v>
      </c>
      <c r="AF11" s="44">
        <f t="shared" si="0"/>
        <v>4455431.531999999</v>
      </c>
      <c r="AG11" s="44">
        <v>50365.783134000005</v>
      </c>
      <c r="AH11" s="44">
        <v>56497.26977640001</v>
      </c>
      <c r="AI11" s="44">
        <v>105111.19958400002</v>
      </c>
      <c r="AJ11" s="44">
        <f t="shared" si="1"/>
        <v>211974.25249440002</v>
      </c>
      <c r="AK11" s="44">
        <v>57000</v>
      </c>
      <c r="AL11" s="44">
        <v>57000</v>
      </c>
      <c r="AM11" s="44">
        <v>110000</v>
      </c>
      <c r="AN11" s="44">
        <v>274000</v>
      </c>
      <c r="AO11" s="44">
        <f t="shared" si="2"/>
        <v>498000</v>
      </c>
      <c r="AP11" s="44">
        <f t="shared" si="3"/>
        <v>5165405.784494399</v>
      </c>
      <c r="AQ11" s="44">
        <f t="shared" si="4"/>
        <v>4667405.784494399</v>
      </c>
      <c r="AR11" s="79"/>
      <c r="AS11" s="79"/>
    </row>
    <row r="12" spans="1:45" ht="12.75">
      <c r="A12" s="78"/>
      <c r="B12" s="43">
        <v>321009</v>
      </c>
      <c r="C12" s="43" t="s">
        <v>277</v>
      </c>
      <c r="D12" s="43" t="s">
        <v>215</v>
      </c>
      <c r="E12" s="43" t="s">
        <v>213</v>
      </c>
      <c r="F12" s="43">
        <v>30</v>
      </c>
      <c r="G12" s="44">
        <v>394590.812</v>
      </c>
      <c r="H12" s="44">
        <v>407580.384</v>
      </c>
      <c r="I12" s="44">
        <v>394590.812</v>
      </c>
      <c r="J12" s="44">
        <v>407580.384</v>
      </c>
      <c r="K12" s="44">
        <v>394590.812</v>
      </c>
      <c r="L12" s="44">
        <v>407580.384</v>
      </c>
      <c r="M12" s="44">
        <v>394590.812</v>
      </c>
      <c r="N12" s="44">
        <v>407580.384</v>
      </c>
      <c r="O12" s="44">
        <v>394590.812</v>
      </c>
      <c r="P12" s="44">
        <v>407580.384</v>
      </c>
      <c r="Q12" s="44">
        <v>394590.812</v>
      </c>
      <c r="R12" s="44">
        <v>407580.384</v>
      </c>
      <c r="S12" s="44">
        <v>394590.812</v>
      </c>
      <c r="T12" s="44">
        <v>407580.384</v>
      </c>
      <c r="U12" s="44">
        <v>394590.812</v>
      </c>
      <c r="V12" s="44">
        <v>407580.384</v>
      </c>
      <c r="W12" s="44">
        <v>394590.812</v>
      </c>
      <c r="X12" s="44">
        <v>407580.384</v>
      </c>
      <c r="Y12" s="44">
        <v>394590.812</v>
      </c>
      <c r="Z12" s="44">
        <v>407580.384</v>
      </c>
      <c r="AA12" s="44">
        <v>394590.812</v>
      </c>
      <c r="AB12" s="44">
        <v>407580.384</v>
      </c>
      <c r="AC12" s="44">
        <v>394590.812</v>
      </c>
      <c r="AD12" s="44">
        <v>407580.384</v>
      </c>
      <c r="AE12" s="44">
        <f t="shared" si="0"/>
        <v>4735089.744</v>
      </c>
      <c r="AF12" s="44">
        <f t="shared" si="0"/>
        <v>4890964.608</v>
      </c>
      <c r="AG12" s="44">
        <v>55764.53205599999</v>
      </c>
      <c r="AH12" s="44">
        <v>62553.257697600005</v>
      </c>
      <c r="AI12" s="44">
        <v>116378.15385599999</v>
      </c>
      <c r="AJ12" s="44">
        <f t="shared" si="1"/>
        <v>234695.94360959998</v>
      </c>
      <c r="AK12" s="44">
        <v>57000</v>
      </c>
      <c r="AL12" s="44">
        <v>57000</v>
      </c>
      <c r="AM12" s="44">
        <v>110000</v>
      </c>
      <c r="AN12" s="44">
        <v>274000</v>
      </c>
      <c r="AO12" s="44">
        <f t="shared" si="2"/>
        <v>498000</v>
      </c>
      <c r="AP12" s="44">
        <f t="shared" si="3"/>
        <v>5623660.5516096</v>
      </c>
      <c r="AQ12" s="44">
        <f t="shared" si="4"/>
        <v>5125660.5516096</v>
      </c>
      <c r="AR12" s="79"/>
      <c r="AS12" s="79"/>
    </row>
    <row r="13" spans="1:45" s="275" customFormat="1" ht="12.75">
      <c r="A13" s="272"/>
      <c r="B13" s="273">
        <v>321009</v>
      </c>
      <c r="C13" s="273" t="s">
        <v>287</v>
      </c>
      <c r="D13" s="273"/>
      <c r="E13" s="273" t="s">
        <v>284</v>
      </c>
      <c r="F13" s="273">
        <v>30</v>
      </c>
      <c r="G13" s="47">
        <v>375120</v>
      </c>
      <c r="H13" s="47">
        <v>388499.28</v>
      </c>
      <c r="I13" s="47">
        <v>375120</v>
      </c>
      <c r="J13" s="47">
        <v>388499.28</v>
      </c>
      <c r="K13" s="47">
        <v>375120</v>
      </c>
      <c r="L13" s="47">
        <v>388499.28</v>
      </c>
      <c r="M13" s="47">
        <v>375120</v>
      </c>
      <c r="N13" s="47">
        <v>388499.28</v>
      </c>
      <c r="O13" s="47">
        <v>375120</v>
      </c>
      <c r="P13" s="47">
        <v>388499.28</v>
      </c>
      <c r="Q13" s="47">
        <v>375120</v>
      </c>
      <c r="R13" s="47">
        <v>388499.28</v>
      </c>
      <c r="S13" s="47">
        <v>375120</v>
      </c>
      <c r="T13" s="47">
        <v>388499.28</v>
      </c>
      <c r="U13" s="47">
        <v>375120</v>
      </c>
      <c r="V13" s="47">
        <v>388499.28</v>
      </c>
      <c r="W13" s="47">
        <v>375120</v>
      </c>
      <c r="X13" s="47">
        <v>388499.28</v>
      </c>
      <c r="Y13" s="47">
        <v>375120</v>
      </c>
      <c r="Z13" s="47">
        <v>388499.28</v>
      </c>
      <c r="AA13" s="47">
        <v>375120</v>
      </c>
      <c r="AB13" s="47">
        <v>388499.28</v>
      </c>
      <c r="AC13" s="47">
        <v>375120</v>
      </c>
      <c r="AD13" s="47">
        <v>388499.28</v>
      </c>
      <c r="AE13" s="47">
        <f t="shared" si="0"/>
        <v>4501440</v>
      </c>
      <c r="AF13" s="47">
        <f t="shared" si="0"/>
        <v>4661991.360000001</v>
      </c>
      <c r="AG13" s="47">
        <v>53077.56</v>
      </c>
      <c r="AH13" s="47">
        <v>59539.17600000001</v>
      </c>
      <c r="AI13" s="47">
        <v>110770.56</v>
      </c>
      <c r="AJ13" s="47">
        <f t="shared" si="1"/>
        <v>223387.296</v>
      </c>
      <c r="AK13" s="47">
        <v>57000</v>
      </c>
      <c r="AL13" s="47">
        <v>57000</v>
      </c>
      <c r="AM13" s="47">
        <v>110000</v>
      </c>
      <c r="AN13" s="47">
        <v>274000</v>
      </c>
      <c r="AO13" s="47">
        <f t="shared" si="2"/>
        <v>498000</v>
      </c>
      <c r="AP13" s="47">
        <f t="shared" si="3"/>
        <v>5383378.656000001</v>
      </c>
      <c r="AQ13" s="47">
        <f t="shared" si="4"/>
        <v>4885378.656000001</v>
      </c>
      <c r="AR13" s="274"/>
      <c r="AS13" s="274"/>
    </row>
    <row r="14" spans="1:45" s="275" customFormat="1" ht="12.75">
      <c r="A14" s="272"/>
      <c r="B14" s="273">
        <v>321009</v>
      </c>
      <c r="C14" s="273" t="s">
        <v>216</v>
      </c>
      <c r="D14" s="273" t="s">
        <v>217</v>
      </c>
      <c r="E14" s="273" t="s">
        <v>284</v>
      </c>
      <c r="F14" s="273">
        <v>30</v>
      </c>
      <c r="G14" s="47">
        <v>434565.058</v>
      </c>
      <c r="H14" s="47">
        <v>447355.608</v>
      </c>
      <c r="I14" s="47">
        <v>434565.058</v>
      </c>
      <c r="J14" s="47">
        <v>447355.608</v>
      </c>
      <c r="K14" s="47">
        <v>434565.058</v>
      </c>
      <c r="L14" s="47">
        <v>447355.608</v>
      </c>
      <c r="M14" s="47">
        <v>434565.058</v>
      </c>
      <c r="N14" s="47">
        <v>447355.608</v>
      </c>
      <c r="O14" s="47">
        <v>434565.058</v>
      </c>
      <c r="P14" s="47">
        <v>447355.608</v>
      </c>
      <c r="Q14" s="47">
        <v>434565.058</v>
      </c>
      <c r="R14" s="47">
        <v>447355.608</v>
      </c>
      <c r="S14" s="47">
        <v>434565.058</v>
      </c>
      <c r="T14" s="47">
        <v>447355.608</v>
      </c>
      <c r="U14" s="47">
        <v>434565.058</v>
      </c>
      <c r="V14" s="47">
        <v>447355.608</v>
      </c>
      <c r="W14" s="47">
        <v>434565.058</v>
      </c>
      <c r="X14" s="47">
        <v>447355.608</v>
      </c>
      <c r="Y14" s="47">
        <v>434565.058</v>
      </c>
      <c r="Z14" s="47">
        <v>447355.608</v>
      </c>
      <c r="AA14" s="47">
        <v>434565.058</v>
      </c>
      <c r="AB14" s="47">
        <v>447355.608</v>
      </c>
      <c r="AC14" s="47">
        <v>434565.058</v>
      </c>
      <c r="AD14" s="47">
        <v>447355.608</v>
      </c>
      <c r="AE14" s="47">
        <f t="shared" si="0"/>
        <v>5214780.696000001</v>
      </c>
      <c r="AF14" s="47">
        <f t="shared" si="0"/>
        <v>5368267.296</v>
      </c>
      <c r="AG14" s="47">
        <v>61280.97800400001</v>
      </c>
      <c r="AH14" s="47">
        <v>68741.27097840002</v>
      </c>
      <c r="AI14" s="47">
        <v>127890.73670400002</v>
      </c>
      <c r="AJ14" s="47">
        <f t="shared" si="1"/>
        <v>257912.98568640003</v>
      </c>
      <c r="AK14" s="47">
        <v>57000</v>
      </c>
      <c r="AL14" s="47">
        <v>57000</v>
      </c>
      <c r="AM14" s="47">
        <v>110000</v>
      </c>
      <c r="AN14" s="47">
        <v>274000</v>
      </c>
      <c r="AO14" s="47">
        <f t="shared" si="2"/>
        <v>498000</v>
      </c>
      <c r="AP14" s="47">
        <f t="shared" si="3"/>
        <v>6124180.2816864</v>
      </c>
      <c r="AQ14" s="47">
        <f t="shared" si="4"/>
        <v>5626180.2816864</v>
      </c>
      <c r="AR14" s="274"/>
      <c r="AS14" s="274"/>
    </row>
    <row r="15" spans="1:45" s="289" customFormat="1" ht="12.75">
      <c r="A15" s="285"/>
      <c r="B15" s="286">
        <v>321009</v>
      </c>
      <c r="C15" s="286" t="s">
        <v>288</v>
      </c>
      <c r="D15" s="286"/>
      <c r="E15" s="286" t="s">
        <v>284</v>
      </c>
      <c r="F15" s="286">
        <v>30</v>
      </c>
      <c r="G15" s="287">
        <v>375120</v>
      </c>
      <c r="H15" s="287">
        <v>388499.28</v>
      </c>
      <c r="I15" s="287">
        <v>375120</v>
      </c>
      <c r="J15" s="287">
        <v>388499.28</v>
      </c>
      <c r="K15" s="287">
        <v>375120</v>
      </c>
      <c r="L15" s="287">
        <v>388499.28</v>
      </c>
      <c r="M15" s="287">
        <v>375120</v>
      </c>
      <c r="N15" s="287">
        <v>388499.28</v>
      </c>
      <c r="O15" s="287">
        <v>375120</v>
      </c>
      <c r="P15" s="287">
        <v>388499.28</v>
      </c>
      <c r="Q15" s="287">
        <v>375120</v>
      </c>
      <c r="R15" s="287">
        <v>388499.28</v>
      </c>
      <c r="S15" s="287">
        <v>375120</v>
      </c>
      <c r="T15" s="287">
        <v>388499.28</v>
      </c>
      <c r="U15" s="287">
        <v>375120</v>
      </c>
      <c r="V15" s="287">
        <v>388499.28</v>
      </c>
      <c r="W15" s="287">
        <v>375120</v>
      </c>
      <c r="X15" s="287">
        <v>388499.28</v>
      </c>
      <c r="Y15" s="287">
        <v>375120</v>
      </c>
      <c r="Z15" s="287">
        <v>388499.28</v>
      </c>
      <c r="AA15" s="287">
        <v>375120</v>
      </c>
      <c r="AB15" s="287">
        <v>388499.28</v>
      </c>
      <c r="AC15" s="287">
        <v>375120</v>
      </c>
      <c r="AD15" s="287">
        <v>388499.28</v>
      </c>
      <c r="AE15" s="287">
        <v>0</v>
      </c>
      <c r="AF15" s="287">
        <v>0</v>
      </c>
      <c r="AG15" s="287">
        <v>0</v>
      </c>
      <c r="AH15" s="287">
        <v>0</v>
      </c>
      <c r="AI15" s="287">
        <v>0</v>
      </c>
      <c r="AJ15" s="287">
        <f t="shared" si="1"/>
        <v>0</v>
      </c>
      <c r="AK15" s="287">
        <v>0</v>
      </c>
      <c r="AL15" s="287">
        <v>0</v>
      </c>
      <c r="AM15" s="287">
        <v>0</v>
      </c>
      <c r="AN15" s="287">
        <v>0</v>
      </c>
      <c r="AO15" s="287">
        <f t="shared" si="2"/>
        <v>0</v>
      </c>
      <c r="AP15" s="287">
        <f t="shared" si="3"/>
        <v>0</v>
      </c>
      <c r="AQ15" s="287">
        <f t="shared" si="4"/>
        <v>0</v>
      </c>
      <c r="AR15" s="288"/>
      <c r="AS15" s="288"/>
    </row>
    <row r="16" spans="1:45" s="289" customFormat="1" ht="12.75">
      <c r="A16" s="285"/>
      <c r="B16" s="286">
        <v>321009</v>
      </c>
      <c r="C16" s="286" t="s">
        <v>289</v>
      </c>
      <c r="D16" s="286"/>
      <c r="E16" s="286" t="s">
        <v>284</v>
      </c>
      <c r="F16" s="286">
        <v>30</v>
      </c>
      <c r="G16" s="287">
        <v>375120</v>
      </c>
      <c r="H16" s="287">
        <v>388499.28</v>
      </c>
      <c r="I16" s="287">
        <v>375120</v>
      </c>
      <c r="J16" s="287">
        <v>388499.28</v>
      </c>
      <c r="K16" s="287">
        <v>375120</v>
      </c>
      <c r="L16" s="287">
        <v>388499.28</v>
      </c>
      <c r="M16" s="287">
        <v>375120</v>
      </c>
      <c r="N16" s="287">
        <v>388499.28</v>
      </c>
      <c r="O16" s="287">
        <v>375120</v>
      </c>
      <c r="P16" s="287">
        <v>388499.28</v>
      </c>
      <c r="Q16" s="287">
        <v>375120</v>
      </c>
      <c r="R16" s="287">
        <v>388499.28</v>
      </c>
      <c r="S16" s="287">
        <v>375120</v>
      </c>
      <c r="T16" s="287">
        <v>388499.28</v>
      </c>
      <c r="U16" s="287">
        <v>375120</v>
      </c>
      <c r="V16" s="287">
        <v>388499.28</v>
      </c>
      <c r="W16" s="287">
        <v>375120</v>
      </c>
      <c r="X16" s="287">
        <v>388499.28</v>
      </c>
      <c r="Y16" s="287">
        <v>375120</v>
      </c>
      <c r="Z16" s="287">
        <v>388499.28</v>
      </c>
      <c r="AA16" s="287">
        <v>375120</v>
      </c>
      <c r="AB16" s="287">
        <v>388499.28</v>
      </c>
      <c r="AC16" s="287">
        <v>375120</v>
      </c>
      <c r="AD16" s="287">
        <v>388499.28</v>
      </c>
      <c r="AE16" s="287">
        <v>0</v>
      </c>
      <c r="AF16" s="287">
        <v>0</v>
      </c>
      <c r="AG16" s="287">
        <v>0</v>
      </c>
      <c r="AH16" s="287">
        <v>0</v>
      </c>
      <c r="AI16" s="287">
        <v>0</v>
      </c>
      <c r="AJ16" s="287">
        <v>0</v>
      </c>
      <c r="AK16" s="287">
        <v>0</v>
      </c>
      <c r="AL16" s="287">
        <v>0</v>
      </c>
      <c r="AM16" s="287">
        <v>0</v>
      </c>
      <c r="AN16" s="287">
        <v>0</v>
      </c>
      <c r="AO16" s="287">
        <f t="shared" si="2"/>
        <v>0</v>
      </c>
      <c r="AP16" s="287">
        <f t="shared" si="3"/>
        <v>0</v>
      </c>
      <c r="AQ16" s="287">
        <f t="shared" si="4"/>
        <v>0</v>
      </c>
      <c r="AR16" s="288"/>
      <c r="AS16" s="288"/>
    </row>
    <row r="17" spans="1:45" s="275" customFormat="1" ht="12.75">
      <c r="A17" s="272"/>
      <c r="B17" s="273">
        <v>321009</v>
      </c>
      <c r="C17" s="273" t="s">
        <v>290</v>
      </c>
      <c r="D17" s="273"/>
      <c r="E17" s="273" t="s">
        <v>284</v>
      </c>
      <c r="F17" s="273">
        <v>30</v>
      </c>
      <c r="G17" s="47">
        <v>375120</v>
      </c>
      <c r="H17" s="47">
        <v>388499.28</v>
      </c>
      <c r="I17" s="47">
        <v>375120</v>
      </c>
      <c r="J17" s="47">
        <v>388499.28</v>
      </c>
      <c r="K17" s="47">
        <v>375120</v>
      </c>
      <c r="L17" s="47">
        <v>388499.28</v>
      </c>
      <c r="M17" s="47">
        <v>375120</v>
      </c>
      <c r="N17" s="47">
        <v>388499.28</v>
      </c>
      <c r="O17" s="47">
        <v>375120</v>
      </c>
      <c r="P17" s="47">
        <v>388499.28</v>
      </c>
      <c r="Q17" s="47">
        <v>375120</v>
      </c>
      <c r="R17" s="47">
        <v>388499.28</v>
      </c>
      <c r="S17" s="47">
        <v>375120</v>
      </c>
      <c r="T17" s="47">
        <v>388499.28</v>
      </c>
      <c r="U17" s="47">
        <v>375120</v>
      </c>
      <c r="V17" s="47">
        <v>388499.28</v>
      </c>
      <c r="W17" s="47">
        <v>375120</v>
      </c>
      <c r="X17" s="47">
        <v>388499.28</v>
      </c>
      <c r="Y17" s="47">
        <v>375120</v>
      </c>
      <c r="Z17" s="47">
        <v>388499.28</v>
      </c>
      <c r="AA17" s="47">
        <v>375120</v>
      </c>
      <c r="AB17" s="47">
        <v>388499.28</v>
      </c>
      <c r="AC17" s="47">
        <v>375120</v>
      </c>
      <c r="AD17" s="47">
        <v>388499.28</v>
      </c>
      <c r="AE17" s="47">
        <f t="shared" si="0"/>
        <v>4501440</v>
      </c>
      <c r="AF17" s="47">
        <f t="shared" si="0"/>
        <v>4661991.360000001</v>
      </c>
      <c r="AG17" s="47">
        <v>53077.56</v>
      </c>
      <c r="AH17" s="47">
        <v>59539.17600000001</v>
      </c>
      <c r="AI17" s="47">
        <v>110770.56</v>
      </c>
      <c r="AJ17" s="47">
        <f t="shared" si="1"/>
        <v>223387.296</v>
      </c>
      <c r="AK17" s="47">
        <v>57000</v>
      </c>
      <c r="AL17" s="47">
        <v>57000</v>
      </c>
      <c r="AM17" s="47">
        <v>110000</v>
      </c>
      <c r="AN17" s="47">
        <v>274000</v>
      </c>
      <c r="AO17" s="47">
        <f t="shared" si="2"/>
        <v>498000</v>
      </c>
      <c r="AP17" s="47">
        <f t="shared" si="3"/>
        <v>5383378.656000001</v>
      </c>
      <c r="AQ17" s="47">
        <f t="shared" si="4"/>
        <v>4885378.656000001</v>
      </c>
      <c r="AR17" s="274"/>
      <c r="AS17" s="274"/>
    </row>
    <row r="18" spans="1:45" s="279" customFormat="1" ht="12.75">
      <c r="A18" s="276"/>
      <c r="B18" s="277">
        <v>321009</v>
      </c>
      <c r="C18" s="277" t="s">
        <v>291</v>
      </c>
      <c r="D18" s="277"/>
      <c r="E18" s="277" t="s">
        <v>280</v>
      </c>
      <c r="F18" s="43">
        <v>30</v>
      </c>
      <c r="G18" s="44">
        <v>198181.106</v>
      </c>
      <c r="H18" s="44">
        <v>210600.704</v>
      </c>
      <c r="I18" s="44">
        <v>198181.106</v>
      </c>
      <c r="J18" s="44">
        <v>210600.704</v>
      </c>
      <c r="K18" s="44">
        <v>198181.106</v>
      </c>
      <c r="L18" s="44">
        <v>210600.704</v>
      </c>
      <c r="M18" s="44">
        <v>198181.106</v>
      </c>
      <c r="N18" s="44">
        <v>210600.704</v>
      </c>
      <c r="O18" s="44">
        <v>198181.106</v>
      </c>
      <c r="P18" s="44">
        <v>210600.704</v>
      </c>
      <c r="Q18" s="44">
        <v>198181.106</v>
      </c>
      <c r="R18" s="44">
        <v>210600.704</v>
      </c>
      <c r="S18" s="44">
        <v>198181.106</v>
      </c>
      <c r="T18" s="44">
        <v>210600.704</v>
      </c>
      <c r="U18" s="44">
        <v>198181.106</v>
      </c>
      <c r="V18" s="44">
        <v>210600.704</v>
      </c>
      <c r="W18" s="44">
        <v>221108.232</v>
      </c>
      <c r="X18" s="44">
        <v>233527.83</v>
      </c>
      <c r="Y18" s="44">
        <v>221108.232</v>
      </c>
      <c r="Z18" s="44">
        <v>233527.83</v>
      </c>
      <c r="AA18" s="44">
        <v>221108.232</v>
      </c>
      <c r="AB18" s="44">
        <v>233527.83</v>
      </c>
      <c r="AC18" s="44">
        <v>221108.232</v>
      </c>
      <c r="AD18" s="44">
        <v>233527.83</v>
      </c>
      <c r="AE18" s="44">
        <f t="shared" si="0"/>
        <v>2469881.7759999996</v>
      </c>
      <c r="AF18" s="44">
        <f t="shared" si="0"/>
        <v>2618916.952</v>
      </c>
      <c r="AG18" s="44">
        <v>29714.640423999994</v>
      </c>
      <c r="AH18" s="44">
        <v>33332.0749104</v>
      </c>
      <c r="AI18" s="44">
        <v>62013.16262399998</v>
      </c>
      <c r="AJ18" s="44">
        <f t="shared" si="1"/>
        <v>125059.87795839997</v>
      </c>
      <c r="AK18" s="44">
        <v>57000</v>
      </c>
      <c r="AL18" s="44">
        <v>57000</v>
      </c>
      <c r="AM18" s="44">
        <v>110000</v>
      </c>
      <c r="AN18" s="44">
        <v>274000</v>
      </c>
      <c r="AO18" s="44">
        <f t="shared" si="2"/>
        <v>498000</v>
      </c>
      <c r="AP18" s="44">
        <f t="shared" si="3"/>
        <v>3241976.8299583998</v>
      </c>
      <c r="AQ18" s="44">
        <f t="shared" si="4"/>
        <v>2743976.8299584</v>
      </c>
      <c r="AR18" s="278"/>
      <c r="AS18" s="278"/>
    </row>
    <row r="19" spans="1:45" s="275" customFormat="1" ht="12.75">
      <c r="A19" s="272"/>
      <c r="B19" s="273">
        <v>321009</v>
      </c>
      <c r="C19" s="273" t="s">
        <v>286</v>
      </c>
      <c r="D19" s="273"/>
      <c r="E19" s="273" t="s">
        <v>284</v>
      </c>
      <c r="F19" s="273">
        <v>30</v>
      </c>
      <c r="G19" s="47">
        <v>375120</v>
      </c>
      <c r="H19" s="47">
        <v>388499.28</v>
      </c>
      <c r="I19" s="47">
        <v>375120</v>
      </c>
      <c r="J19" s="47">
        <v>388499.28</v>
      </c>
      <c r="K19" s="47">
        <v>375120</v>
      </c>
      <c r="L19" s="47">
        <v>388499.28</v>
      </c>
      <c r="M19" s="47">
        <v>375120</v>
      </c>
      <c r="N19" s="47">
        <v>388499.28</v>
      </c>
      <c r="O19" s="47">
        <v>375120</v>
      </c>
      <c r="P19" s="47">
        <v>388499.28</v>
      </c>
      <c r="Q19" s="47">
        <v>375120</v>
      </c>
      <c r="R19" s="47">
        <v>388499.28</v>
      </c>
      <c r="S19" s="47">
        <v>375120</v>
      </c>
      <c r="T19" s="47">
        <v>388499.28</v>
      </c>
      <c r="U19" s="47">
        <v>375120</v>
      </c>
      <c r="V19" s="47">
        <v>388499.28</v>
      </c>
      <c r="W19" s="47">
        <v>375120</v>
      </c>
      <c r="X19" s="47">
        <v>388499.28</v>
      </c>
      <c r="Y19" s="47">
        <v>375120</v>
      </c>
      <c r="Z19" s="47">
        <v>388499.28</v>
      </c>
      <c r="AA19" s="47">
        <v>375120</v>
      </c>
      <c r="AB19" s="47">
        <v>388499.28</v>
      </c>
      <c r="AC19" s="47">
        <v>375120</v>
      </c>
      <c r="AD19" s="47">
        <v>388499.28</v>
      </c>
      <c r="AE19" s="47">
        <f t="shared" si="0"/>
        <v>4501440</v>
      </c>
      <c r="AF19" s="47">
        <f t="shared" si="0"/>
        <v>4661991.360000001</v>
      </c>
      <c r="AG19" s="47">
        <v>53077.56</v>
      </c>
      <c r="AH19" s="47">
        <v>59539.17600000001</v>
      </c>
      <c r="AI19" s="47">
        <v>110770.56</v>
      </c>
      <c r="AJ19" s="47">
        <f t="shared" si="1"/>
        <v>223387.296</v>
      </c>
      <c r="AK19" s="47">
        <v>57000</v>
      </c>
      <c r="AL19" s="47">
        <v>57000</v>
      </c>
      <c r="AM19" s="47">
        <v>110000</v>
      </c>
      <c r="AN19" s="47">
        <v>274000</v>
      </c>
      <c r="AO19" s="47">
        <f t="shared" si="2"/>
        <v>498000</v>
      </c>
      <c r="AP19" s="47">
        <f t="shared" si="3"/>
        <v>5383378.656000001</v>
      </c>
      <c r="AQ19" s="47">
        <f t="shared" si="4"/>
        <v>4885378.656000001</v>
      </c>
      <c r="AR19" s="274"/>
      <c r="AS19" s="274"/>
    </row>
    <row r="20" spans="2:48" ht="13.5">
      <c r="B20" s="43">
        <v>321009</v>
      </c>
      <c r="C20" s="43" t="s">
        <v>278</v>
      </c>
      <c r="D20" s="43" t="s">
        <v>279</v>
      </c>
      <c r="E20" s="43" t="s">
        <v>213</v>
      </c>
      <c r="F20" s="43">
        <v>30</v>
      </c>
      <c r="G20" s="44">
        <v>375120</v>
      </c>
      <c r="H20" s="44">
        <v>388499.28</v>
      </c>
      <c r="I20" s="44">
        <v>375120</v>
      </c>
      <c r="J20" s="44">
        <v>388499.28</v>
      </c>
      <c r="K20" s="44">
        <v>375120</v>
      </c>
      <c r="L20" s="44">
        <v>388499.28</v>
      </c>
      <c r="M20" s="44">
        <v>375120</v>
      </c>
      <c r="N20" s="44">
        <v>388499.28</v>
      </c>
      <c r="O20" s="44">
        <v>375120</v>
      </c>
      <c r="P20" s="44">
        <v>388499.28</v>
      </c>
      <c r="Q20" s="44">
        <v>375120</v>
      </c>
      <c r="R20" s="44">
        <v>388499.28</v>
      </c>
      <c r="S20" s="44">
        <v>375120</v>
      </c>
      <c r="T20" s="44">
        <v>388499.28</v>
      </c>
      <c r="U20" s="44">
        <v>375120</v>
      </c>
      <c r="V20" s="44">
        <v>388499.28</v>
      </c>
      <c r="W20" s="44">
        <v>375120</v>
      </c>
      <c r="X20" s="44">
        <v>388499.28</v>
      </c>
      <c r="Y20" s="44">
        <v>375120</v>
      </c>
      <c r="Z20" s="44">
        <v>388499.28</v>
      </c>
      <c r="AA20" s="44">
        <v>375120</v>
      </c>
      <c r="AB20" s="44">
        <v>388499.28</v>
      </c>
      <c r="AC20" s="44">
        <v>398047.126</v>
      </c>
      <c r="AD20" s="44">
        <v>411426.406</v>
      </c>
      <c r="AE20" s="44">
        <f t="shared" si="0"/>
        <v>4524367.126</v>
      </c>
      <c r="AF20" s="44">
        <f t="shared" si="0"/>
        <v>4684918.486000001</v>
      </c>
      <c r="AG20" s="44">
        <v>53341.221949</v>
      </c>
      <c r="AH20" s="44">
        <v>59834.93592540001</v>
      </c>
      <c r="AI20" s="44">
        <v>111320.811024</v>
      </c>
      <c r="AJ20" s="44">
        <f t="shared" si="1"/>
        <v>224496.9688984</v>
      </c>
      <c r="AK20" s="44">
        <v>57000</v>
      </c>
      <c r="AL20" s="44">
        <v>57000</v>
      </c>
      <c r="AM20" s="44">
        <v>110000</v>
      </c>
      <c r="AN20" s="44">
        <v>274000</v>
      </c>
      <c r="AO20" s="44">
        <f t="shared" si="2"/>
        <v>498000</v>
      </c>
      <c r="AP20" s="44">
        <f t="shared" si="3"/>
        <v>5407415.454898401</v>
      </c>
      <c r="AQ20" s="44">
        <f t="shared" si="4"/>
        <v>4909415.454898401</v>
      </c>
      <c r="AU20" s="50" t="s">
        <v>220</v>
      </c>
      <c r="AV20" s="51">
        <v>3836000</v>
      </c>
    </row>
    <row r="21" spans="2:48" s="275" customFormat="1" ht="13.5">
      <c r="B21" s="273">
        <v>321009</v>
      </c>
      <c r="C21" s="273" t="s">
        <v>292</v>
      </c>
      <c r="D21" s="273"/>
      <c r="E21" s="273" t="s">
        <v>284</v>
      </c>
      <c r="F21" s="273">
        <v>30</v>
      </c>
      <c r="G21" s="47">
        <v>375120</v>
      </c>
      <c r="H21" s="47">
        <v>388499.28</v>
      </c>
      <c r="I21" s="47">
        <v>375120</v>
      </c>
      <c r="J21" s="47">
        <v>388499.28</v>
      </c>
      <c r="K21" s="47">
        <v>375120</v>
      </c>
      <c r="L21" s="47">
        <v>388499.28</v>
      </c>
      <c r="M21" s="47">
        <v>375120</v>
      </c>
      <c r="N21" s="47">
        <v>388499.28</v>
      </c>
      <c r="O21" s="47">
        <v>375120</v>
      </c>
      <c r="P21" s="47">
        <v>388499.28</v>
      </c>
      <c r="Q21" s="47">
        <v>375120</v>
      </c>
      <c r="R21" s="47">
        <v>388499.28</v>
      </c>
      <c r="S21" s="47">
        <v>375120</v>
      </c>
      <c r="T21" s="47">
        <v>388499.28</v>
      </c>
      <c r="U21" s="47">
        <v>375120</v>
      </c>
      <c r="V21" s="47">
        <v>388499.28</v>
      </c>
      <c r="W21" s="47">
        <v>375120</v>
      </c>
      <c r="X21" s="47">
        <v>388499.28</v>
      </c>
      <c r="Y21" s="47">
        <v>375120</v>
      </c>
      <c r="Z21" s="47">
        <v>388499.28</v>
      </c>
      <c r="AA21" s="47">
        <v>375120</v>
      </c>
      <c r="AB21" s="47">
        <v>388499.28</v>
      </c>
      <c r="AC21" s="47">
        <v>375120</v>
      </c>
      <c r="AD21" s="47">
        <v>388499.28</v>
      </c>
      <c r="AE21" s="47">
        <f t="shared" si="0"/>
        <v>4501440</v>
      </c>
      <c r="AF21" s="47">
        <f t="shared" si="0"/>
        <v>4661991.360000001</v>
      </c>
      <c r="AG21" s="47">
        <v>53077.56</v>
      </c>
      <c r="AH21" s="47">
        <v>59539.17600000001</v>
      </c>
      <c r="AI21" s="47">
        <v>110770.56</v>
      </c>
      <c r="AJ21" s="47">
        <f t="shared" si="1"/>
        <v>223387.296</v>
      </c>
      <c r="AK21" s="47">
        <v>57000</v>
      </c>
      <c r="AL21" s="47">
        <v>57000</v>
      </c>
      <c r="AM21" s="47">
        <v>110000</v>
      </c>
      <c r="AN21" s="47">
        <v>274000</v>
      </c>
      <c r="AO21" s="47">
        <f t="shared" si="2"/>
        <v>498000</v>
      </c>
      <c r="AP21" s="47">
        <f t="shared" si="3"/>
        <v>5383378.656000001</v>
      </c>
      <c r="AQ21" s="47">
        <f t="shared" si="4"/>
        <v>4885378.656000001</v>
      </c>
      <c r="AR21" s="283"/>
      <c r="AS21" s="283"/>
      <c r="AU21" s="284"/>
      <c r="AV21" s="284"/>
    </row>
    <row r="22" spans="2:48" s="289" customFormat="1" ht="13.5">
      <c r="B22" s="286">
        <v>321009</v>
      </c>
      <c r="C22" s="286" t="s">
        <v>283</v>
      </c>
      <c r="D22" s="286"/>
      <c r="E22" s="286" t="s">
        <v>285</v>
      </c>
      <c r="F22" s="286">
        <v>30</v>
      </c>
      <c r="G22" s="287">
        <v>234450</v>
      </c>
      <c r="H22" s="287">
        <v>247829.28</v>
      </c>
      <c r="I22" s="287">
        <v>234450</v>
      </c>
      <c r="J22" s="287">
        <v>247829.28</v>
      </c>
      <c r="K22" s="287">
        <v>234450</v>
      </c>
      <c r="L22" s="287">
        <v>247829.28</v>
      </c>
      <c r="M22" s="287">
        <v>234450</v>
      </c>
      <c r="N22" s="287">
        <v>247829.28</v>
      </c>
      <c r="O22" s="287">
        <v>234450</v>
      </c>
      <c r="P22" s="287">
        <v>247829.28</v>
      </c>
      <c r="Q22" s="287">
        <v>234450</v>
      </c>
      <c r="R22" s="287">
        <v>247829.28</v>
      </c>
      <c r="S22" s="287">
        <v>234450</v>
      </c>
      <c r="T22" s="287">
        <v>247829.28</v>
      </c>
      <c r="U22" s="287">
        <v>234450</v>
      </c>
      <c r="V22" s="287">
        <v>247829.28</v>
      </c>
      <c r="W22" s="287">
        <v>234450</v>
      </c>
      <c r="X22" s="287">
        <v>247829.28</v>
      </c>
      <c r="Y22" s="287">
        <v>234450</v>
      </c>
      <c r="Z22" s="287">
        <v>247829.28</v>
      </c>
      <c r="AA22" s="287">
        <v>234450</v>
      </c>
      <c r="AB22" s="287">
        <v>247829.28</v>
      </c>
      <c r="AC22" s="287">
        <v>234450</v>
      </c>
      <c r="AD22" s="287">
        <v>247829.28</v>
      </c>
      <c r="AE22" s="287">
        <v>0</v>
      </c>
      <c r="AF22" s="287">
        <v>0</v>
      </c>
      <c r="AG22" s="287">
        <v>0</v>
      </c>
      <c r="AH22" s="287">
        <v>0</v>
      </c>
      <c r="AI22" s="287">
        <v>0</v>
      </c>
      <c r="AJ22" s="287">
        <v>0</v>
      </c>
      <c r="AK22" s="287">
        <v>0</v>
      </c>
      <c r="AL22" s="287">
        <v>0</v>
      </c>
      <c r="AM22" s="287">
        <v>0</v>
      </c>
      <c r="AN22" s="287">
        <v>0</v>
      </c>
      <c r="AO22" s="287">
        <v>0</v>
      </c>
      <c r="AP22" s="287">
        <v>0</v>
      </c>
      <c r="AQ22" s="287">
        <f t="shared" si="4"/>
        <v>0</v>
      </c>
      <c r="AR22" s="290"/>
      <c r="AS22" s="290"/>
      <c r="AU22" s="291" t="s">
        <v>223</v>
      </c>
      <c r="AV22" s="292"/>
    </row>
    <row r="23" spans="2:48" ht="13.5">
      <c r="B23" s="43"/>
      <c r="C23" s="43"/>
      <c r="D23" s="43"/>
      <c r="E23" s="43"/>
      <c r="F23" s="43"/>
      <c r="G23" s="44">
        <f>SUM(G9:G22)</f>
        <v>5502144.498</v>
      </c>
      <c r="H23" s="44">
        <f aca="true" t="shared" si="5" ref="H23:AQ23">SUM(H9:H22)</f>
        <v>5689953.536000002</v>
      </c>
      <c r="I23" s="44">
        <f t="shared" si="5"/>
        <v>5513608.582</v>
      </c>
      <c r="J23" s="44">
        <f t="shared" si="5"/>
        <v>5701417.620000002</v>
      </c>
      <c r="K23" s="44">
        <f t="shared" si="5"/>
        <v>5523339.82</v>
      </c>
      <c r="L23" s="44">
        <f t="shared" si="5"/>
        <v>5711148.858000002</v>
      </c>
      <c r="M23" s="44">
        <f t="shared" si="5"/>
        <v>5523339.82</v>
      </c>
      <c r="N23" s="44">
        <f t="shared" si="5"/>
        <v>5711148.858000002</v>
      </c>
      <c r="O23" s="44">
        <f t="shared" si="5"/>
        <v>5523339.82</v>
      </c>
      <c r="P23" s="44">
        <f t="shared" si="5"/>
        <v>5711148.858000002</v>
      </c>
      <c r="Q23" s="44">
        <f t="shared" si="5"/>
        <v>5523339.82</v>
      </c>
      <c r="R23" s="44">
        <f t="shared" si="5"/>
        <v>5711148.858000002</v>
      </c>
      <c r="S23" s="44">
        <f t="shared" si="5"/>
        <v>5523339.82</v>
      </c>
      <c r="T23" s="44">
        <f t="shared" si="5"/>
        <v>5711148.858000002</v>
      </c>
      <c r="U23" s="44">
        <f t="shared" si="5"/>
        <v>5523339.82</v>
      </c>
      <c r="V23" s="44">
        <f t="shared" si="5"/>
        <v>5711148.858000002</v>
      </c>
      <c r="W23" s="44">
        <f t="shared" si="5"/>
        <v>5546266.946</v>
      </c>
      <c r="X23" s="44">
        <f t="shared" si="5"/>
        <v>5734075.984000002</v>
      </c>
      <c r="Y23" s="44">
        <f t="shared" si="5"/>
        <v>5546266.946</v>
      </c>
      <c r="Z23" s="44">
        <f t="shared" si="5"/>
        <v>5734075.984000002</v>
      </c>
      <c r="AA23" s="44">
        <f t="shared" si="5"/>
        <v>5546266.946</v>
      </c>
      <c r="AB23" s="44">
        <f t="shared" si="5"/>
        <v>5734075.984000002</v>
      </c>
      <c r="AC23" s="44">
        <f t="shared" si="5"/>
        <v>5569194.072000001</v>
      </c>
      <c r="AD23" s="44">
        <f t="shared" si="5"/>
        <v>5757003.110000002</v>
      </c>
      <c r="AE23" s="44">
        <f t="shared" si="5"/>
        <v>54547506.910000004</v>
      </c>
      <c r="AF23" s="44">
        <f t="shared" si="5"/>
        <v>56319561.286000006</v>
      </c>
      <c r="AG23" s="44">
        <f t="shared" si="5"/>
        <v>641717.329465</v>
      </c>
      <c r="AH23" s="44">
        <f t="shared" si="5"/>
        <v>719839.4391389999</v>
      </c>
      <c r="AI23" s="44">
        <f t="shared" si="5"/>
        <v>1339236.1658400001</v>
      </c>
      <c r="AJ23" s="44">
        <f t="shared" si="5"/>
        <v>2700792.9344440005</v>
      </c>
      <c r="AK23" s="44">
        <f t="shared" si="5"/>
        <v>627000</v>
      </c>
      <c r="AL23" s="44">
        <f t="shared" si="5"/>
        <v>627000</v>
      </c>
      <c r="AM23" s="44">
        <f t="shared" si="5"/>
        <v>1178000</v>
      </c>
      <c r="AN23" s="44">
        <f t="shared" si="5"/>
        <v>2878000</v>
      </c>
      <c r="AO23" s="44">
        <f t="shared" si="5"/>
        <v>5310000</v>
      </c>
      <c r="AP23" s="44">
        <f t="shared" si="5"/>
        <v>64330354.22044402</v>
      </c>
      <c r="AQ23" s="44">
        <f t="shared" si="5"/>
        <v>59020354.22044402</v>
      </c>
      <c r="AU23" s="52" t="s">
        <v>225</v>
      </c>
      <c r="AV23" s="52">
        <f>798000+798000</f>
        <v>1596000</v>
      </c>
    </row>
    <row r="24" spans="14:48" ht="13.5">
      <c r="N24" s="60"/>
      <c r="AK24" s="400">
        <f>SUM(AK23:AL23)</f>
        <v>1254000</v>
      </c>
      <c r="AL24" s="400"/>
      <c r="AU24" s="52" t="s">
        <v>205</v>
      </c>
      <c r="AV24" s="52">
        <v>1540000</v>
      </c>
    </row>
    <row r="25" spans="4:48" ht="13.5">
      <c r="D25">
        <f>4501440/12</f>
        <v>375120</v>
      </c>
      <c r="N25" s="60"/>
      <c r="AF25" s="42">
        <f>AF11/12</f>
        <v>371285.9609999999</v>
      </c>
      <c r="AU25" s="51" t="s">
        <v>188</v>
      </c>
      <c r="AV25" s="55">
        <f>SUM(AV23:AV24)</f>
        <v>3136000</v>
      </c>
    </row>
    <row r="26" ht="12.75">
      <c r="N26" s="60"/>
    </row>
    <row r="27" spans="14:33" ht="12.75">
      <c r="N27" s="60"/>
      <c r="AF27" s="42">
        <v>310000</v>
      </c>
      <c r="AG27" s="42" t="s">
        <v>296</v>
      </c>
    </row>
    <row r="28" spans="14:31" ht="12.75">
      <c r="N28" s="60"/>
      <c r="AE28" s="42">
        <f>SUM(AE21+AE19+AE17+AE14+AE13+AE9)</f>
        <v>29138085.788000003</v>
      </c>
    </row>
    <row r="29" spans="14:32" ht="12.75">
      <c r="N29" s="60"/>
      <c r="AF29" s="42">
        <f>AF10/12</f>
        <v>797916.71</v>
      </c>
    </row>
    <row r="30" ht="12.75">
      <c r="N30" s="60"/>
    </row>
    <row r="31" spans="14:32" ht="12.75">
      <c r="N31" s="60"/>
      <c r="AF31" s="42">
        <f>AF14/12</f>
        <v>447355.608</v>
      </c>
    </row>
    <row r="32" spans="31:43" ht="12.75">
      <c r="AE32" s="42">
        <f>SUM(AE9:AE21)</f>
        <v>54547506.910000004</v>
      </c>
      <c r="AF32" s="42">
        <f aca="true" t="shared" si="6" ref="AF32:AQ32">SUM(AF9:AF22)</f>
        <v>56319561.286000006</v>
      </c>
      <c r="AG32" s="42">
        <f t="shared" si="6"/>
        <v>641717.329465</v>
      </c>
      <c r="AH32" s="42">
        <f t="shared" si="6"/>
        <v>719839.4391389999</v>
      </c>
      <c r="AI32" s="42">
        <f t="shared" si="6"/>
        <v>1339236.1658400001</v>
      </c>
      <c r="AJ32" s="42">
        <f t="shared" si="6"/>
        <v>2700792.9344440005</v>
      </c>
      <c r="AK32" s="42">
        <f t="shared" si="6"/>
        <v>627000</v>
      </c>
      <c r="AL32" s="42">
        <f t="shared" si="6"/>
        <v>627000</v>
      </c>
      <c r="AM32" s="42">
        <f t="shared" si="6"/>
        <v>1178000</v>
      </c>
      <c r="AN32" s="42">
        <f t="shared" si="6"/>
        <v>2878000</v>
      </c>
      <c r="AO32" s="42">
        <f t="shared" si="6"/>
        <v>5310000</v>
      </c>
      <c r="AP32" s="42">
        <f t="shared" si="6"/>
        <v>64330354.22044402</v>
      </c>
      <c r="AQ32" s="42">
        <f t="shared" si="6"/>
        <v>59020354.22044402</v>
      </c>
    </row>
    <row r="37" spans="5:6" ht="12.75">
      <c r="E37" t="s">
        <v>313</v>
      </c>
      <c r="F37" s="293">
        <v>12297934</v>
      </c>
    </row>
  </sheetData>
  <sheetProtection/>
  <autoFilter ref="E4:E31"/>
  <mergeCells count="15">
    <mergeCell ref="U7:V7"/>
    <mergeCell ref="I7:J7"/>
    <mergeCell ref="K7:L7"/>
    <mergeCell ref="M7:N7"/>
    <mergeCell ref="O7:P7"/>
    <mergeCell ref="Q7:R7"/>
    <mergeCell ref="S7:T7"/>
    <mergeCell ref="W7:X7"/>
    <mergeCell ref="Y7:Z7"/>
    <mergeCell ref="AA7:AB7"/>
    <mergeCell ref="AC7:AD7"/>
    <mergeCell ref="AK24:AL24"/>
    <mergeCell ref="AE7:AF7"/>
    <mergeCell ref="AG7:AI7"/>
    <mergeCell ref="AK7:AN7"/>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4:AT32"/>
  <sheetViews>
    <sheetView zoomScalePageLayoutView="0" workbookViewId="0" topLeftCell="A13">
      <selection activeCell="A30" sqref="A30"/>
    </sheetView>
  </sheetViews>
  <sheetFormatPr defaultColWidth="11.421875" defaultRowHeight="12.75"/>
  <cols>
    <col min="1" max="1" width="44.7109375" style="0" bestFit="1" customWidth="1"/>
    <col min="2" max="2" width="16.28125" style="0" customWidth="1"/>
    <col min="3" max="3" width="32.7109375" style="0" bestFit="1" customWidth="1"/>
  </cols>
  <sheetData>
    <row r="4" ht="12.75">
      <c r="A4" t="s">
        <v>303</v>
      </c>
    </row>
    <row r="6" spans="2:5" ht="12.75">
      <c r="B6" t="s">
        <v>305</v>
      </c>
      <c r="C6" t="s">
        <v>306</v>
      </c>
      <c r="D6" t="s">
        <v>307</v>
      </c>
      <c r="E6" t="s">
        <v>308</v>
      </c>
    </row>
    <row r="7" spans="1:3" ht="12.75">
      <c r="A7" t="s">
        <v>310</v>
      </c>
      <c r="B7">
        <v>28</v>
      </c>
      <c r="C7">
        <v>30</v>
      </c>
    </row>
    <row r="8" spans="1:5" ht="12.75">
      <c r="A8" t="s">
        <v>304</v>
      </c>
      <c r="B8">
        <v>1</v>
      </c>
      <c r="C8">
        <v>1</v>
      </c>
      <c r="D8">
        <v>1</v>
      </c>
      <c r="E8">
        <v>1</v>
      </c>
    </row>
    <row r="9" spans="1:5" ht="12.75">
      <c r="A9" t="s">
        <v>309</v>
      </c>
      <c r="B9">
        <v>2</v>
      </c>
      <c r="C9">
        <v>2</v>
      </c>
      <c r="D9">
        <v>1</v>
      </c>
      <c r="E9">
        <v>1</v>
      </c>
    </row>
    <row r="10" spans="2:3" ht="12.75">
      <c r="B10">
        <v>25</v>
      </c>
      <c r="C10">
        <v>32</v>
      </c>
    </row>
    <row r="14" spans="1:46" ht="13.5">
      <c r="A14" s="78"/>
      <c r="B14" s="78"/>
      <c r="C14" s="78"/>
      <c r="D14" s="78"/>
      <c r="E14" s="84" t="s">
        <v>177</v>
      </c>
      <c r="F14" s="85"/>
      <c r="G14" s="405" t="s">
        <v>178</v>
      </c>
      <c r="H14" s="406"/>
      <c r="I14" s="405" t="s">
        <v>179</v>
      </c>
      <c r="J14" s="406"/>
      <c r="K14" s="398" t="s">
        <v>180</v>
      </c>
      <c r="L14" s="399"/>
      <c r="M14" s="398" t="s">
        <v>181</v>
      </c>
      <c r="N14" s="399"/>
      <c r="O14" s="398" t="s">
        <v>182</v>
      </c>
      <c r="P14" s="399"/>
      <c r="Q14" s="398" t="s">
        <v>183</v>
      </c>
      <c r="R14" s="399"/>
      <c r="S14" s="398" t="s">
        <v>184</v>
      </c>
      <c r="T14" s="399"/>
      <c r="U14" s="398" t="s">
        <v>203</v>
      </c>
      <c r="V14" s="399"/>
      <c r="W14" s="398" t="s">
        <v>185</v>
      </c>
      <c r="X14" s="399"/>
      <c r="Y14" s="398" t="s">
        <v>186</v>
      </c>
      <c r="Z14" s="399"/>
      <c r="AA14" s="398" t="s">
        <v>187</v>
      </c>
      <c r="AB14" s="399"/>
      <c r="AC14" s="407" t="s">
        <v>188</v>
      </c>
      <c r="AD14" s="409"/>
      <c r="AE14" s="407" t="s">
        <v>189</v>
      </c>
      <c r="AF14" s="408"/>
      <c r="AG14" s="409"/>
      <c r="AH14" s="45" t="s">
        <v>190</v>
      </c>
      <c r="AI14" s="407" t="s">
        <v>191</v>
      </c>
      <c r="AJ14" s="408"/>
      <c r="AK14" s="408"/>
      <c r="AL14" s="409"/>
      <c r="AM14" s="45" t="s">
        <v>188</v>
      </c>
      <c r="AN14" s="46" t="s">
        <v>188</v>
      </c>
      <c r="AO14" s="45" t="s">
        <v>192</v>
      </c>
      <c r="AP14" s="79"/>
      <c r="AQ14" s="79"/>
      <c r="AS14" s="52" t="s">
        <v>205</v>
      </c>
      <c r="AT14" s="52">
        <v>1540000</v>
      </c>
    </row>
    <row r="15" spans="1:46" ht="13.5">
      <c r="A15" s="43" t="s">
        <v>193</v>
      </c>
      <c r="B15" s="43" t="s">
        <v>194</v>
      </c>
      <c r="C15" s="43" t="s">
        <v>195</v>
      </c>
      <c r="D15" s="43" t="s">
        <v>196</v>
      </c>
      <c r="E15" s="44" t="s">
        <v>197</v>
      </c>
      <c r="F15" s="44" t="s">
        <v>198</v>
      </c>
      <c r="G15" s="44" t="s">
        <v>197</v>
      </c>
      <c r="H15" s="44" t="s">
        <v>198</v>
      </c>
      <c r="I15" s="44" t="s">
        <v>197</v>
      </c>
      <c r="J15" s="44" t="s">
        <v>198</v>
      </c>
      <c r="K15" s="44" t="s">
        <v>197</v>
      </c>
      <c r="L15" s="44" t="s">
        <v>198</v>
      </c>
      <c r="M15" s="44" t="s">
        <v>197</v>
      </c>
      <c r="N15" s="44" t="s">
        <v>198</v>
      </c>
      <c r="O15" s="44" t="s">
        <v>197</v>
      </c>
      <c r="P15" s="44" t="s">
        <v>198</v>
      </c>
      <c r="Q15" s="44" t="s">
        <v>197</v>
      </c>
      <c r="R15" s="44" t="s">
        <v>198</v>
      </c>
      <c r="S15" s="44" t="s">
        <v>197</v>
      </c>
      <c r="T15" s="44" t="s">
        <v>198</v>
      </c>
      <c r="U15" s="44" t="s">
        <v>197</v>
      </c>
      <c r="V15" s="44" t="s">
        <v>198</v>
      </c>
      <c r="W15" s="44" t="s">
        <v>197</v>
      </c>
      <c r="X15" s="44" t="s">
        <v>198</v>
      </c>
      <c r="Y15" s="44" t="s">
        <v>197</v>
      </c>
      <c r="Z15" s="44" t="s">
        <v>198</v>
      </c>
      <c r="AA15" s="44" t="s">
        <v>197</v>
      </c>
      <c r="AB15" s="44" t="s">
        <v>198</v>
      </c>
      <c r="AC15" s="44" t="s">
        <v>197</v>
      </c>
      <c r="AD15" s="44" t="s">
        <v>198</v>
      </c>
      <c r="AE15" s="44" t="s">
        <v>199</v>
      </c>
      <c r="AF15" s="44" t="s">
        <v>200</v>
      </c>
      <c r="AG15" s="44" t="s">
        <v>201</v>
      </c>
      <c r="AH15" s="44" t="s">
        <v>202</v>
      </c>
      <c r="AI15" s="44" t="s">
        <v>203</v>
      </c>
      <c r="AJ15" s="44" t="s">
        <v>204</v>
      </c>
      <c r="AK15" s="44" t="s">
        <v>205</v>
      </c>
      <c r="AL15" s="44" t="s">
        <v>206</v>
      </c>
      <c r="AM15" s="44" t="s">
        <v>207</v>
      </c>
      <c r="AN15" s="47" t="s">
        <v>188</v>
      </c>
      <c r="AO15" s="44" t="s">
        <v>208</v>
      </c>
      <c r="AP15" s="79"/>
      <c r="AQ15" s="79"/>
      <c r="AS15" s="51" t="s">
        <v>188</v>
      </c>
      <c r="AT15" s="55">
        <f>SUM(AT13:AT14)</f>
        <v>1540000</v>
      </c>
    </row>
    <row r="16" spans="1:43" s="275" customFormat="1" ht="12.75">
      <c r="A16" s="273" t="s">
        <v>210</v>
      </c>
      <c r="B16" s="273" t="s">
        <v>211</v>
      </c>
      <c r="C16" s="273" t="s">
        <v>284</v>
      </c>
      <c r="D16" s="273">
        <v>30</v>
      </c>
      <c r="E16" s="47">
        <v>482620.014</v>
      </c>
      <c r="F16" s="47">
        <v>495999.294</v>
      </c>
      <c r="G16" s="47">
        <v>494084.098</v>
      </c>
      <c r="H16" s="47">
        <v>507463.378</v>
      </c>
      <c r="I16" s="47">
        <v>494084.098</v>
      </c>
      <c r="J16" s="47">
        <v>507463.378</v>
      </c>
      <c r="K16" s="47">
        <v>494084.098</v>
      </c>
      <c r="L16" s="47">
        <v>507463.378</v>
      </c>
      <c r="M16" s="47">
        <v>494084.098</v>
      </c>
      <c r="N16" s="47">
        <v>507463.378</v>
      </c>
      <c r="O16" s="47">
        <v>494084.098</v>
      </c>
      <c r="P16" s="47">
        <v>507463.378</v>
      </c>
      <c r="Q16" s="47">
        <v>494084.098</v>
      </c>
      <c r="R16" s="47">
        <v>507463.378</v>
      </c>
      <c r="S16" s="47">
        <v>494084.098</v>
      </c>
      <c r="T16" s="47">
        <v>507463.378</v>
      </c>
      <c r="U16" s="47">
        <v>494084.098</v>
      </c>
      <c r="V16" s="47">
        <v>507463.378</v>
      </c>
      <c r="W16" s="47">
        <v>494084.098</v>
      </c>
      <c r="X16" s="47">
        <v>507463.378</v>
      </c>
      <c r="Y16" s="47">
        <v>494084.098</v>
      </c>
      <c r="Z16" s="47">
        <v>507463.378</v>
      </c>
      <c r="AA16" s="47">
        <v>494084.098</v>
      </c>
      <c r="AB16" s="47">
        <v>507463.378</v>
      </c>
      <c r="AC16" s="47">
        <f>+E16+G16+I16+K16+M16+O16+Q16+S16+U16+W16+Y16+AA16</f>
        <v>5917545.092000001</v>
      </c>
      <c r="AD16" s="47">
        <f>+F16+H16+J16+L16+N16+P16+R16+T16+V16+X16+Z16+AB16</f>
        <v>6078096.452000001</v>
      </c>
      <c r="AE16" s="47">
        <v>69362.76855800001</v>
      </c>
      <c r="AF16" s="47">
        <v>77806.93168680002</v>
      </c>
      <c r="AG16" s="47">
        <v>144757.08220800004</v>
      </c>
      <c r="AH16" s="47">
        <f aca="true" t="shared" si="0" ref="AH16:AH21">SUM(AE16:AG16)</f>
        <v>291926.7824528001</v>
      </c>
      <c r="AI16" s="47">
        <v>57000</v>
      </c>
      <c r="AJ16" s="47">
        <v>57000</v>
      </c>
      <c r="AK16" s="47">
        <v>110000</v>
      </c>
      <c r="AL16" s="47">
        <v>274000</v>
      </c>
      <c r="AM16" s="47">
        <f aca="true" t="shared" si="1" ref="AM16:AM21">SUM(AI16:AL16)</f>
        <v>498000</v>
      </c>
      <c r="AN16" s="47">
        <f aca="true" t="shared" si="2" ref="AN16:AN21">+AM16+AH16+AD16</f>
        <v>6868023.234452802</v>
      </c>
      <c r="AO16" s="47">
        <f aca="true" t="shared" si="3" ref="AO16:AO21">+AD16+AH16</f>
        <v>6370023.234452802</v>
      </c>
      <c r="AP16" s="274"/>
      <c r="AQ16" s="274"/>
    </row>
    <row r="17" spans="1:43" s="275" customFormat="1" ht="12.75">
      <c r="A17" s="273" t="s">
        <v>287</v>
      </c>
      <c r="B17" s="273"/>
      <c r="C17" s="273" t="s">
        <v>284</v>
      </c>
      <c r="D17" s="273">
        <v>30</v>
      </c>
      <c r="E17" s="47">
        <v>375120</v>
      </c>
      <c r="F17" s="47">
        <v>388499.28</v>
      </c>
      <c r="G17" s="47">
        <v>375120</v>
      </c>
      <c r="H17" s="47">
        <v>388499.28</v>
      </c>
      <c r="I17" s="47">
        <v>375120</v>
      </c>
      <c r="J17" s="47">
        <v>388499.28</v>
      </c>
      <c r="K17" s="47">
        <v>375120</v>
      </c>
      <c r="L17" s="47">
        <v>388499.28</v>
      </c>
      <c r="M17" s="47">
        <v>375120</v>
      </c>
      <c r="N17" s="47">
        <v>388499.28</v>
      </c>
      <c r="O17" s="47">
        <v>375120</v>
      </c>
      <c r="P17" s="47">
        <v>388499.28</v>
      </c>
      <c r="Q17" s="47">
        <v>375120</v>
      </c>
      <c r="R17" s="47">
        <v>388499.28</v>
      </c>
      <c r="S17" s="47">
        <v>375120</v>
      </c>
      <c r="T17" s="47">
        <v>388499.28</v>
      </c>
      <c r="U17" s="47">
        <v>375120</v>
      </c>
      <c r="V17" s="47">
        <v>388499.28</v>
      </c>
      <c r="W17" s="47">
        <v>375120</v>
      </c>
      <c r="X17" s="47">
        <v>388499.28</v>
      </c>
      <c r="Y17" s="47">
        <v>375120</v>
      </c>
      <c r="Z17" s="47">
        <v>388499.28</v>
      </c>
      <c r="AA17" s="47">
        <v>375120</v>
      </c>
      <c r="AB17" s="47">
        <v>388499.28</v>
      </c>
      <c r="AC17" s="47">
        <f aca="true" t="shared" si="4" ref="AC17:AD21">+E17+G17+I17+K17+M17+O17+Q17+S17+U17+W17+Y17+AA17</f>
        <v>4501440</v>
      </c>
      <c r="AD17" s="47">
        <f t="shared" si="4"/>
        <v>4661991.360000001</v>
      </c>
      <c r="AE17" s="47">
        <v>53077.56</v>
      </c>
      <c r="AF17" s="47">
        <v>59539.17600000001</v>
      </c>
      <c r="AG17" s="47">
        <v>110770.56</v>
      </c>
      <c r="AH17" s="47">
        <f t="shared" si="0"/>
        <v>223387.296</v>
      </c>
      <c r="AI17" s="47">
        <v>57000</v>
      </c>
      <c r="AJ17" s="47">
        <v>57000</v>
      </c>
      <c r="AK17" s="47">
        <v>110000</v>
      </c>
      <c r="AL17" s="47">
        <v>274000</v>
      </c>
      <c r="AM17" s="47">
        <f t="shared" si="1"/>
        <v>498000</v>
      </c>
      <c r="AN17" s="47">
        <f t="shared" si="2"/>
        <v>5383378.656000001</v>
      </c>
      <c r="AO17" s="47">
        <f t="shared" si="3"/>
        <v>4885378.656000001</v>
      </c>
      <c r="AP17" s="274"/>
      <c r="AQ17" s="274"/>
    </row>
    <row r="18" spans="1:43" s="275" customFormat="1" ht="12.75">
      <c r="A18" s="273" t="s">
        <v>216</v>
      </c>
      <c r="B18" s="273" t="s">
        <v>217</v>
      </c>
      <c r="C18" s="273" t="s">
        <v>284</v>
      </c>
      <c r="D18" s="273">
        <v>30</v>
      </c>
      <c r="E18" s="47">
        <v>434565.058</v>
      </c>
      <c r="F18" s="47">
        <v>447355.608</v>
      </c>
      <c r="G18" s="47">
        <v>434565.058</v>
      </c>
      <c r="H18" s="47">
        <v>447355.608</v>
      </c>
      <c r="I18" s="47">
        <v>434565.058</v>
      </c>
      <c r="J18" s="47">
        <v>447355.608</v>
      </c>
      <c r="K18" s="47">
        <v>434565.058</v>
      </c>
      <c r="L18" s="47">
        <v>447355.608</v>
      </c>
      <c r="M18" s="47">
        <v>434565.058</v>
      </c>
      <c r="N18" s="47">
        <v>447355.608</v>
      </c>
      <c r="O18" s="47">
        <v>434565.058</v>
      </c>
      <c r="P18" s="47">
        <v>447355.608</v>
      </c>
      <c r="Q18" s="47">
        <v>434565.058</v>
      </c>
      <c r="R18" s="47">
        <v>447355.608</v>
      </c>
      <c r="S18" s="47">
        <v>434565.058</v>
      </c>
      <c r="T18" s="47">
        <v>447355.608</v>
      </c>
      <c r="U18" s="47">
        <v>434565.058</v>
      </c>
      <c r="V18" s="47">
        <v>447355.608</v>
      </c>
      <c r="W18" s="47">
        <v>434565.058</v>
      </c>
      <c r="X18" s="47">
        <v>447355.608</v>
      </c>
      <c r="Y18" s="47">
        <v>434565.058</v>
      </c>
      <c r="Z18" s="47">
        <v>447355.608</v>
      </c>
      <c r="AA18" s="47">
        <v>434565.058</v>
      </c>
      <c r="AB18" s="47">
        <v>447355.608</v>
      </c>
      <c r="AC18" s="47">
        <f t="shared" si="4"/>
        <v>5214780.696000001</v>
      </c>
      <c r="AD18" s="47">
        <f t="shared" si="4"/>
        <v>5368267.296</v>
      </c>
      <c r="AE18" s="47">
        <v>61280.97800400001</v>
      </c>
      <c r="AF18" s="47">
        <v>68741.27097840002</v>
      </c>
      <c r="AG18" s="47">
        <v>127890.73670400002</v>
      </c>
      <c r="AH18" s="47">
        <f t="shared" si="0"/>
        <v>257912.98568640003</v>
      </c>
      <c r="AI18" s="47">
        <v>57000</v>
      </c>
      <c r="AJ18" s="47">
        <v>57000</v>
      </c>
      <c r="AK18" s="47">
        <v>110000</v>
      </c>
      <c r="AL18" s="47">
        <v>274000</v>
      </c>
      <c r="AM18" s="47">
        <f t="shared" si="1"/>
        <v>498000</v>
      </c>
      <c r="AN18" s="47">
        <f t="shared" si="2"/>
        <v>6124180.2816864</v>
      </c>
      <c r="AO18" s="47">
        <f t="shared" si="3"/>
        <v>5626180.2816864</v>
      </c>
      <c r="AP18" s="274"/>
      <c r="AQ18" s="274"/>
    </row>
    <row r="19" spans="1:43" s="275" customFormat="1" ht="17.25" customHeight="1">
      <c r="A19" s="273" t="s">
        <v>290</v>
      </c>
      <c r="B19" s="273"/>
      <c r="C19" s="273" t="s">
        <v>284</v>
      </c>
      <c r="D19" s="273">
        <v>30</v>
      </c>
      <c r="E19" s="47">
        <v>375120</v>
      </c>
      <c r="F19" s="47">
        <v>388499.28</v>
      </c>
      <c r="G19" s="47">
        <v>375120</v>
      </c>
      <c r="H19" s="47">
        <v>388499.28</v>
      </c>
      <c r="I19" s="47">
        <v>375120</v>
      </c>
      <c r="J19" s="47">
        <v>388499.28</v>
      </c>
      <c r="K19" s="47">
        <v>375120</v>
      </c>
      <c r="L19" s="47">
        <v>388499.28</v>
      </c>
      <c r="M19" s="47">
        <v>375120</v>
      </c>
      <c r="N19" s="47">
        <v>388499.28</v>
      </c>
      <c r="O19" s="47">
        <v>375120</v>
      </c>
      <c r="P19" s="47">
        <v>388499.28</v>
      </c>
      <c r="Q19" s="47">
        <v>375120</v>
      </c>
      <c r="R19" s="47">
        <v>388499.28</v>
      </c>
      <c r="S19" s="47">
        <v>375120</v>
      </c>
      <c r="T19" s="47">
        <v>388499.28</v>
      </c>
      <c r="U19" s="47">
        <v>375120</v>
      </c>
      <c r="V19" s="47">
        <v>388499.28</v>
      </c>
      <c r="W19" s="47">
        <v>375120</v>
      </c>
      <c r="X19" s="47">
        <v>388499.28</v>
      </c>
      <c r="Y19" s="47">
        <v>375120</v>
      </c>
      <c r="Z19" s="47">
        <v>388499.28</v>
      </c>
      <c r="AA19" s="47">
        <v>375120</v>
      </c>
      <c r="AB19" s="47">
        <v>388499.28</v>
      </c>
      <c r="AC19" s="47">
        <f t="shared" si="4"/>
        <v>4501440</v>
      </c>
      <c r="AD19" s="47">
        <f t="shared" si="4"/>
        <v>4661991.360000001</v>
      </c>
      <c r="AE19" s="47">
        <v>53077.56</v>
      </c>
      <c r="AF19" s="47">
        <v>59539.17600000001</v>
      </c>
      <c r="AG19" s="47">
        <v>110770.56</v>
      </c>
      <c r="AH19" s="47">
        <f t="shared" si="0"/>
        <v>223387.296</v>
      </c>
      <c r="AI19" s="47">
        <v>57000</v>
      </c>
      <c r="AJ19" s="47">
        <v>57000</v>
      </c>
      <c r="AK19" s="47">
        <v>110000</v>
      </c>
      <c r="AL19" s="47">
        <v>274000</v>
      </c>
      <c r="AM19" s="47">
        <f t="shared" si="1"/>
        <v>498000</v>
      </c>
      <c r="AN19" s="47">
        <f t="shared" si="2"/>
        <v>5383378.656000001</v>
      </c>
      <c r="AO19" s="47">
        <f t="shared" si="3"/>
        <v>4885378.656000001</v>
      </c>
      <c r="AP19" s="274"/>
      <c r="AQ19" s="274"/>
    </row>
    <row r="20" spans="1:43" s="275" customFormat="1" ht="12.75">
      <c r="A20" s="273" t="s">
        <v>286</v>
      </c>
      <c r="B20" s="273"/>
      <c r="C20" s="273" t="s">
        <v>284</v>
      </c>
      <c r="D20" s="273">
        <v>30</v>
      </c>
      <c r="E20" s="47">
        <v>375120</v>
      </c>
      <c r="F20" s="47">
        <v>388499.28</v>
      </c>
      <c r="G20" s="47">
        <v>375120</v>
      </c>
      <c r="H20" s="47">
        <v>388499.28</v>
      </c>
      <c r="I20" s="47">
        <v>375120</v>
      </c>
      <c r="J20" s="47">
        <v>388499.28</v>
      </c>
      <c r="K20" s="47">
        <v>375120</v>
      </c>
      <c r="L20" s="47">
        <v>388499.28</v>
      </c>
      <c r="M20" s="47">
        <v>375120</v>
      </c>
      <c r="N20" s="47">
        <v>388499.28</v>
      </c>
      <c r="O20" s="47">
        <v>375120</v>
      </c>
      <c r="P20" s="47">
        <v>388499.28</v>
      </c>
      <c r="Q20" s="47">
        <v>375120</v>
      </c>
      <c r="R20" s="47">
        <v>388499.28</v>
      </c>
      <c r="S20" s="47">
        <v>375120</v>
      </c>
      <c r="T20" s="47">
        <v>388499.28</v>
      </c>
      <c r="U20" s="47">
        <v>375120</v>
      </c>
      <c r="V20" s="47">
        <v>388499.28</v>
      </c>
      <c r="W20" s="47">
        <v>375120</v>
      </c>
      <c r="X20" s="47">
        <v>388499.28</v>
      </c>
      <c r="Y20" s="47">
        <v>375120</v>
      </c>
      <c r="Z20" s="47">
        <v>388499.28</v>
      </c>
      <c r="AA20" s="47">
        <v>375120</v>
      </c>
      <c r="AB20" s="47">
        <v>388499.28</v>
      </c>
      <c r="AC20" s="47">
        <f t="shared" si="4"/>
        <v>4501440</v>
      </c>
      <c r="AD20" s="47">
        <f t="shared" si="4"/>
        <v>4661991.360000001</v>
      </c>
      <c r="AE20" s="47">
        <v>53077.56</v>
      </c>
      <c r="AF20" s="47">
        <v>59539.17600000001</v>
      </c>
      <c r="AG20" s="47">
        <v>110770.56</v>
      </c>
      <c r="AH20" s="47">
        <f t="shared" si="0"/>
        <v>223387.296</v>
      </c>
      <c r="AI20" s="47">
        <v>57000</v>
      </c>
      <c r="AJ20" s="47">
        <v>57000</v>
      </c>
      <c r="AK20" s="47">
        <v>110000</v>
      </c>
      <c r="AL20" s="47">
        <v>274000</v>
      </c>
      <c r="AM20" s="47">
        <f t="shared" si="1"/>
        <v>498000</v>
      </c>
      <c r="AN20" s="47">
        <f t="shared" si="2"/>
        <v>5383378.656000001</v>
      </c>
      <c r="AO20" s="47">
        <f t="shared" si="3"/>
        <v>4885378.656000001</v>
      </c>
      <c r="AP20" s="274"/>
      <c r="AQ20" s="274"/>
    </row>
    <row r="21" spans="1:46" s="275" customFormat="1" ht="13.5">
      <c r="A21" s="273" t="s">
        <v>292</v>
      </c>
      <c r="B21" s="273"/>
      <c r="C21" s="273" t="s">
        <v>284</v>
      </c>
      <c r="D21" s="273">
        <v>30</v>
      </c>
      <c r="E21" s="47">
        <v>375120</v>
      </c>
      <c r="F21" s="47">
        <v>388499.28</v>
      </c>
      <c r="G21" s="47">
        <v>375120</v>
      </c>
      <c r="H21" s="47">
        <v>388499.28</v>
      </c>
      <c r="I21" s="47">
        <v>375120</v>
      </c>
      <c r="J21" s="47">
        <v>388499.28</v>
      </c>
      <c r="K21" s="47">
        <v>375120</v>
      </c>
      <c r="L21" s="47">
        <v>388499.28</v>
      </c>
      <c r="M21" s="47">
        <v>375120</v>
      </c>
      <c r="N21" s="47">
        <v>388499.28</v>
      </c>
      <c r="O21" s="47">
        <v>375120</v>
      </c>
      <c r="P21" s="47">
        <v>388499.28</v>
      </c>
      <c r="Q21" s="47">
        <v>375120</v>
      </c>
      <c r="R21" s="47">
        <v>388499.28</v>
      </c>
      <c r="S21" s="47">
        <v>375120</v>
      </c>
      <c r="T21" s="47">
        <v>388499.28</v>
      </c>
      <c r="U21" s="47">
        <v>375120</v>
      </c>
      <c r="V21" s="47">
        <v>388499.28</v>
      </c>
      <c r="W21" s="47">
        <v>375120</v>
      </c>
      <c r="X21" s="47">
        <v>388499.28</v>
      </c>
      <c r="Y21" s="47">
        <v>375120</v>
      </c>
      <c r="Z21" s="47">
        <v>388499.28</v>
      </c>
      <c r="AA21" s="47">
        <v>375120</v>
      </c>
      <c r="AB21" s="47">
        <v>388499.28</v>
      </c>
      <c r="AC21" s="47">
        <f t="shared" si="4"/>
        <v>4501440</v>
      </c>
      <c r="AD21" s="47">
        <f t="shared" si="4"/>
        <v>4661991.360000001</v>
      </c>
      <c r="AE21" s="47">
        <v>53077.56</v>
      </c>
      <c r="AF21" s="47">
        <v>59539.17600000001</v>
      </c>
      <c r="AG21" s="47">
        <v>110770.56</v>
      </c>
      <c r="AH21" s="47">
        <f t="shared" si="0"/>
        <v>223387.296</v>
      </c>
      <c r="AI21" s="47">
        <v>57000</v>
      </c>
      <c r="AJ21" s="47">
        <v>57000</v>
      </c>
      <c r="AK21" s="47">
        <v>110000</v>
      </c>
      <c r="AL21" s="47">
        <v>274000</v>
      </c>
      <c r="AM21" s="47">
        <f t="shared" si="1"/>
        <v>498000</v>
      </c>
      <c r="AN21" s="47">
        <f t="shared" si="2"/>
        <v>5383378.656000001</v>
      </c>
      <c r="AO21" s="47">
        <f t="shared" si="3"/>
        <v>4885378.656000001</v>
      </c>
      <c r="AP21" s="283"/>
      <c r="AQ21" s="283"/>
      <c r="AS21" s="284"/>
      <c r="AT21" s="284"/>
    </row>
    <row r="22" spans="1:46" ht="13.5">
      <c r="A22" s="43"/>
      <c r="B22" s="43"/>
      <c r="C22" s="43"/>
      <c r="D22" s="43"/>
      <c r="E22" s="44">
        <f aca="true" t="shared" si="5" ref="E22:AO22">SUM(E16:E21)</f>
        <v>2417665.0719999997</v>
      </c>
      <c r="F22" s="44">
        <f t="shared" si="5"/>
        <v>2497352.022</v>
      </c>
      <c r="G22" s="44">
        <f t="shared" si="5"/>
        <v>2429129.156</v>
      </c>
      <c r="H22" s="44">
        <f t="shared" si="5"/>
        <v>2508816.1060000006</v>
      </c>
      <c r="I22" s="44">
        <f t="shared" si="5"/>
        <v>2429129.156</v>
      </c>
      <c r="J22" s="44">
        <f t="shared" si="5"/>
        <v>2508816.1060000006</v>
      </c>
      <c r="K22" s="44">
        <f t="shared" si="5"/>
        <v>2429129.156</v>
      </c>
      <c r="L22" s="44">
        <f t="shared" si="5"/>
        <v>2508816.1060000006</v>
      </c>
      <c r="M22" s="44">
        <f t="shared" si="5"/>
        <v>2429129.156</v>
      </c>
      <c r="N22" s="44">
        <f t="shared" si="5"/>
        <v>2508816.1060000006</v>
      </c>
      <c r="O22" s="44">
        <f t="shared" si="5"/>
        <v>2429129.156</v>
      </c>
      <c r="P22" s="44">
        <f t="shared" si="5"/>
        <v>2508816.1060000006</v>
      </c>
      <c r="Q22" s="44">
        <f t="shared" si="5"/>
        <v>2429129.156</v>
      </c>
      <c r="R22" s="44">
        <f t="shared" si="5"/>
        <v>2508816.1060000006</v>
      </c>
      <c r="S22" s="44">
        <f t="shared" si="5"/>
        <v>2429129.156</v>
      </c>
      <c r="T22" s="44">
        <f t="shared" si="5"/>
        <v>2508816.1060000006</v>
      </c>
      <c r="U22" s="44">
        <f t="shared" si="5"/>
        <v>2429129.156</v>
      </c>
      <c r="V22" s="44">
        <f t="shared" si="5"/>
        <v>2508816.1060000006</v>
      </c>
      <c r="W22" s="44">
        <f t="shared" si="5"/>
        <v>2429129.156</v>
      </c>
      <c r="X22" s="44">
        <f t="shared" si="5"/>
        <v>2508816.1060000006</v>
      </c>
      <c r="Y22" s="44">
        <f t="shared" si="5"/>
        <v>2429129.156</v>
      </c>
      <c r="Z22" s="44">
        <f t="shared" si="5"/>
        <v>2508816.1060000006</v>
      </c>
      <c r="AA22" s="44">
        <f t="shared" si="5"/>
        <v>2429129.156</v>
      </c>
      <c r="AB22" s="44">
        <f t="shared" si="5"/>
        <v>2508816.1060000006</v>
      </c>
      <c r="AC22" s="44">
        <f t="shared" si="5"/>
        <v>29138085.788000003</v>
      </c>
      <c r="AD22" s="44">
        <f t="shared" si="5"/>
        <v>30094329.188</v>
      </c>
      <c r="AE22" s="44">
        <f t="shared" si="5"/>
        <v>342953.986562</v>
      </c>
      <c r="AF22" s="44">
        <f t="shared" si="5"/>
        <v>384704.9066652</v>
      </c>
      <c r="AG22" s="44">
        <f t="shared" si="5"/>
        <v>715730.0589120002</v>
      </c>
      <c r="AH22" s="44">
        <f t="shared" si="5"/>
        <v>1443388.9521392002</v>
      </c>
      <c r="AI22" s="44">
        <f t="shared" si="5"/>
        <v>342000</v>
      </c>
      <c r="AJ22" s="44">
        <f t="shared" si="5"/>
        <v>342000</v>
      </c>
      <c r="AK22" s="44">
        <f t="shared" si="5"/>
        <v>660000</v>
      </c>
      <c r="AL22" s="44">
        <f t="shared" si="5"/>
        <v>1644000</v>
      </c>
      <c r="AM22" s="44">
        <f t="shared" si="5"/>
        <v>2988000</v>
      </c>
      <c r="AN22" s="44">
        <f t="shared" si="5"/>
        <v>34525718.14013921</v>
      </c>
      <c r="AO22" s="44">
        <f t="shared" si="5"/>
        <v>31537718.140139207</v>
      </c>
      <c r="AP22" s="42"/>
      <c r="AQ22" s="42"/>
      <c r="AS22" s="52" t="s">
        <v>225</v>
      </c>
      <c r="AT22" s="52">
        <f>798000+798000</f>
        <v>1596000</v>
      </c>
    </row>
    <row r="26" spans="1:2" ht="26.25">
      <c r="A26" s="43" t="s">
        <v>193</v>
      </c>
      <c r="B26" s="326" t="s">
        <v>345</v>
      </c>
    </row>
    <row r="27" spans="1:2" ht="12.75">
      <c r="A27" s="310" t="s">
        <v>210</v>
      </c>
      <c r="B27" s="303">
        <v>6868023.234452802</v>
      </c>
    </row>
    <row r="28" spans="1:2" ht="12.75">
      <c r="A28" s="310" t="s">
        <v>287</v>
      </c>
      <c r="B28" s="303">
        <v>5383378.656000001</v>
      </c>
    </row>
    <row r="29" spans="1:2" ht="12.75">
      <c r="A29" s="310" t="s">
        <v>216</v>
      </c>
      <c r="B29" s="303">
        <v>6124180.2816864</v>
      </c>
    </row>
    <row r="30" spans="1:2" ht="12.75">
      <c r="A30" s="310" t="s">
        <v>290</v>
      </c>
      <c r="B30" s="303">
        <v>5383378.656000001</v>
      </c>
    </row>
    <row r="31" spans="1:2" ht="12.75">
      <c r="A31" s="310" t="s">
        <v>286</v>
      </c>
      <c r="B31" s="303">
        <v>5383378.656000001</v>
      </c>
    </row>
    <row r="32" spans="1:2" ht="12.75">
      <c r="A32" s="310" t="s">
        <v>292</v>
      </c>
      <c r="B32" s="303">
        <v>5383378.656000001</v>
      </c>
    </row>
  </sheetData>
  <sheetProtection/>
  <mergeCells count="14">
    <mergeCell ref="G14:H14"/>
    <mergeCell ref="I14:J14"/>
    <mergeCell ref="K14:L14"/>
    <mergeCell ref="M14:N14"/>
    <mergeCell ref="O14:P14"/>
    <mergeCell ref="Q14:R14"/>
    <mergeCell ref="AE14:AG14"/>
    <mergeCell ref="AI14:AL14"/>
    <mergeCell ref="S14:T14"/>
    <mergeCell ref="U14:V14"/>
    <mergeCell ref="W14:X14"/>
    <mergeCell ref="Y14:Z14"/>
    <mergeCell ref="AA14:AB14"/>
    <mergeCell ref="AC14:AD14"/>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30"/>
  <sheetViews>
    <sheetView zoomScale="90" zoomScaleNormal="90" zoomScalePageLayoutView="0" workbookViewId="0" topLeftCell="A1">
      <selection activeCell="P11" sqref="P11"/>
    </sheetView>
  </sheetViews>
  <sheetFormatPr defaultColWidth="8.8515625" defaultRowHeight="12.75"/>
  <cols>
    <col min="1" max="1" width="8.8515625" style="0" customWidth="1"/>
    <col min="2" max="2" width="10.7109375" style="0" customWidth="1"/>
    <col min="3" max="3" width="15.7109375" style="0" customWidth="1"/>
    <col min="4" max="4" width="15.57421875" style="0" customWidth="1"/>
    <col min="5" max="5" width="13.8515625" style="0" bestFit="1" customWidth="1"/>
    <col min="6" max="6" width="14.8515625" style="0" customWidth="1"/>
    <col min="7" max="7" width="15.8515625" style="0" customWidth="1"/>
    <col min="8" max="8" width="15.421875" style="0" customWidth="1"/>
    <col min="9" max="9" width="13.8515625" style="0" bestFit="1" customWidth="1"/>
    <col min="10" max="10" width="18.140625" style="0" customWidth="1"/>
    <col min="11" max="11" width="16.57421875" style="0" customWidth="1"/>
  </cols>
  <sheetData>
    <row r="1" s="318" customFormat="1" ht="17.25">
      <c r="B1" s="318" t="s">
        <v>316</v>
      </c>
    </row>
    <row r="4" spans="2:11" s="309" customFormat="1" ht="39">
      <c r="B4" s="307" t="s">
        <v>317</v>
      </c>
      <c r="C4" s="307" t="s">
        <v>318</v>
      </c>
      <c r="D4" s="410" t="s">
        <v>319</v>
      </c>
      <c r="E4" s="410"/>
      <c r="F4" s="308" t="s">
        <v>320</v>
      </c>
      <c r="G4" s="308" t="s">
        <v>322</v>
      </c>
      <c r="H4" s="313" t="s">
        <v>327</v>
      </c>
      <c r="I4" s="313" t="s">
        <v>326</v>
      </c>
      <c r="J4" s="313" t="s">
        <v>328</v>
      </c>
      <c r="K4" s="313" t="s">
        <v>334</v>
      </c>
    </row>
    <row r="5" spans="2:11" ht="12.75">
      <c r="B5" s="43"/>
      <c r="C5" s="277"/>
      <c r="D5" s="306" t="s">
        <v>203</v>
      </c>
      <c r="E5" s="306" t="s">
        <v>321</v>
      </c>
      <c r="F5" s="43"/>
      <c r="G5" s="43"/>
      <c r="H5" s="273"/>
      <c r="I5" s="273"/>
      <c r="J5" s="273"/>
      <c r="K5" s="273"/>
    </row>
    <row r="6" spans="1:11" ht="12.75">
      <c r="A6" s="319">
        <v>1</v>
      </c>
      <c r="B6" s="43" t="s">
        <v>329</v>
      </c>
      <c r="C6" s="316">
        <v>450000</v>
      </c>
      <c r="D6" s="304">
        <v>57000</v>
      </c>
      <c r="E6" s="304">
        <v>57000</v>
      </c>
      <c r="F6" s="304">
        <v>110000</v>
      </c>
      <c r="G6" s="304">
        <v>274000</v>
      </c>
      <c r="H6" s="312">
        <f aca="true" t="shared" si="0" ref="H6:H11">SUM(D6:G6)</f>
        <v>498000</v>
      </c>
      <c r="I6" s="315">
        <f aca="true" t="shared" si="1" ref="I6:I11">SUM(C6:G6)</f>
        <v>948000</v>
      </c>
      <c r="J6" s="314">
        <f>C6+(H6/12)</f>
        <v>491500</v>
      </c>
      <c r="K6" s="317">
        <f>J6-(J6*0.18)</f>
        <v>403030</v>
      </c>
    </row>
    <row r="7" spans="1:11" ht="12.75">
      <c r="A7" s="319">
        <v>2</v>
      </c>
      <c r="B7" s="43" t="s">
        <v>337</v>
      </c>
      <c r="C7" s="316">
        <v>336000</v>
      </c>
      <c r="D7" s="304">
        <v>57000</v>
      </c>
      <c r="E7" s="304">
        <v>57000</v>
      </c>
      <c r="F7" s="304">
        <v>110000</v>
      </c>
      <c r="G7" s="304">
        <v>274000</v>
      </c>
      <c r="H7" s="312">
        <f t="shared" si="0"/>
        <v>498000</v>
      </c>
      <c r="I7" s="315">
        <f t="shared" si="1"/>
        <v>834000</v>
      </c>
      <c r="J7" s="312">
        <f>C7+(H7/12)</f>
        <v>377500</v>
      </c>
      <c r="K7" s="315">
        <f>J7-(J7*0.18)</f>
        <v>309550</v>
      </c>
    </row>
    <row r="8" spans="1:11" ht="12.75">
      <c r="A8" s="319">
        <v>3</v>
      </c>
      <c r="B8" s="43" t="s">
        <v>323</v>
      </c>
      <c r="C8" s="316">
        <v>375120</v>
      </c>
      <c r="D8" s="304">
        <v>57000</v>
      </c>
      <c r="E8" s="304">
        <v>57000</v>
      </c>
      <c r="F8" s="304">
        <v>110000</v>
      </c>
      <c r="G8" s="304">
        <v>274000</v>
      </c>
      <c r="H8" s="312">
        <f t="shared" si="0"/>
        <v>498000</v>
      </c>
      <c r="I8" s="315">
        <f t="shared" si="1"/>
        <v>873120</v>
      </c>
      <c r="J8" s="314">
        <f>C8+(H8/12)</f>
        <v>416620</v>
      </c>
      <c r="K8" s="317">
        <f>J8-(J8*0.18)</f>
        <v>341628.4</v>
      </c>
    </row>
    <row r="9" spans="1:11" ht="12.75">
      <c r="A9" s="319">
        <v>4</v>
      </c>
      <c r="B9" s="43" t="s">
        <v>324</v>
      </c>
      <c r="C9" s="316">
        <v>411912</v>
      </c>
      <c r="D9" s="304">
        <v>57000</v>
      </c>
      <c r="E9" s="304">
        <v>57000</v>
      </c>
      <c r="F9" s="304">
        <v>110000</v>
      </c>
      <c r="G9" s="304">
        <v>274000</v>
      </c>
      <c r="H9" s="312">
        <f t="shared" si="0"/>
        <v>498000</v>
      </c>
      <c r="I9" s="315">
        <f t="shared" si="1"/>
        <v>909912</v>
      </c>
      <c r="J9" s="314">
        <f>C9+(H9/12)</f>
        <v>453412</v>
      </c>
      <c r="K9" s="317">
        <f>J9-(J9*0.18)</f>
        <v>371797.83999999997</v>
      </c>
    </row>
    <row r="10" spans="1:11" ht="12.75">
      <c r="A10" s="319">
        <v>5</v>
      </c>
      <c r="B10" s="43" t="s">
        <v>325</v>
      </c>
      <c r="C10" s="316">
        <v>612596</v>
      </c>
      <c r="D10" s="304">
        <v>57000</v>
      </c>
      <c r="E10" s="304">
        <v>57000</v>
      </c>
      <c r="F10" s="304">
        <v>110000</v>
      </c>
      <c r="G10" s="304">
        <v>274000</v>
      </c>
      <c r="H10" s="312">
        <f t="shared" si="0"/>
        <v>498000</v>
      </c>
      <c r="I10" s="315">
        <f t="shared" si="1"/>
        <v>1110596</v>
      </c>
      <c r="J10" s="314">
        <f>C10+(H10/12)</f>
        <v>654096</v>
      </c>
      <c r="K10" s="317">
        <f>J10-(J10*0.18)</f>
        <v>536358.72</v>
      </c>
    </row>
    <row r="11" spans="1:11" ht="12.75">
      <c r="A11" s="319">
        <v>6</v>
      </c>
      <c r="B11" s="310" t="s">
        <v>336</v>
      </c>
      <c r="C11" s="304">
        <v>453600</v>
      </c>
      <c r="D11" s="304">
        <v>57000</v>
      </c>
      <c r="E11" s="304">
        <v>57000</v>
      </c>
      <c r="F11" s="304">
        <v>110000</v>
      </c>
      <c r="G11" s="304">
        <v>274000</v>
      </c>
      <c r="H11" s="312">
        <f t="shared" si="0"/>
        <v>498000</v>
      </c>
      <c r="I11" s="315">
        <f t="shared" si="1"/>
        <v>951600</v>
      </c>
      <c r="J11" s="314">
        <f>C11+(H11/12)</f>
        <v>495100</v>
      </c>
      <c r="K11" s="317">
        <f>J11-(J11*0.18)</f>
        <v>405982</v>
      </c>
    </row>
    <row r="12" spans="3:9" ht="12.75">
      <c r="C12" s="303"/>
      <c r="D12" s="303"/>
      <c r="E12" s="303"/>
      <c r="F12" s="303"/>
      <c r="G12" s="303"/>
      <c r="H12" s="303"/>
      <c r="I12" s="303"/>
    </row>
    <row r="15" spans="2:5" ht="39">
      <c r="B15" s="321" t="s">
        <v>317</v>
      </c>
      <c r="C15" s="308" t="s">
        <v>332</v>
      </c>
      <c r="D15" s="308" t="s">
        <v>333</v>
      </c>
      <c r="E15" s="311" t="s">
        <v>335</v>
      </c>
    </row>
    <row r="16" spans="2:5" ht="12.75">
      <c r="B16" s="43"/>
      <c r="C16" s="277"/>
      <c r="D16" s="43"/>
      <c r="E16" s="273"/>
    </row>
    <row r="17" spans="2:6" ht="12.75">
      <c r="B17" s="43" t="s">
        <v>329</v>
      </c>
      <c r="C17" s="316">
        <v>310000</v>
      </c>
      <c r="D17" s="305">
        <f>K6</f>
        <v>403030</v>
      </c>
      <c r="E17" s="314">
        <f>D17-C17</f>
        <v>93030</v>
      </c>
      <c r="F17" t="s">
        <v>341</v>
      </c>
    </row>
    <row r="18" spans="2:5" ht="12.75">
      <c r="B18" s="43"/>
      <c r="C18" s="277"/>
      <c r="D18" s="43"/>
      <c r="E18" s="314">
        <f>D18-C18</f>
        <v>0</v>
      </c>
    </row>
    <row r="19" spans="2:6" ht="12.75">
      <c r="B19" s="43" t="s">
        <v>323</v>
      </c>
      <c r="C19" s="316">
        <v>280000</v>
      </c>
      <c r="D19" s="305">
        <f>K8</f>
        <v>341628.4</v>
      </c>
      <c r="E19" s="314">
        <f>D19-C19</f>
        <v>61628.40000000002</v>
      </c>
      <c r="F19" t="s">
        <v>341</v>
      </c>
    </row>
    <row r="20" spans="2:5" ht="12.75">
      <c r="B20" s="43" t="s">
        <v>324</v>
      </c>
      <c r="C20" s="316">
        <v>280000</v>
      </c>
      <c r="D20" s="305">
        <f>K9</f>
        <v>371797.83999999997</v>
      </c>
      <c r="E20" s="314">
        <f>D20-C20</f>
        <v>91797.83999999997</v>
      </c>
    </row>
    <row r="21" spans="2:6" ht="12.75">
      <c r="B21" s="310" t="s">
        <v>325</v>
      </c>
      <c r="C21" s="305">
        <f>C10</f>
        <v>612596</v>
      </c>
      <c r="D21" s="305">
        <f>C10</f>
        <v>612596</v>
      </c>
      <c r="E21" s="314">
        <f>D21-C21</f>
        <v>0</v>
      </c>
      <c r="F21" t="s">
        <v>342</v>
      </c>
    </row>
    <row r="22" spans="2:5" s="323" customFormat="1" ht="12.75">
      <c r="B22" s="78"/>
      <c r="C22" s="322"/>
      <c r="D22" s="322"/>
      <c r="E22" s="322"/>
    </row>
    <row r="23" spans="2:5" s="323" customFormat="1" ht="12.75">
      <c r="B23" s="78"/>
      <c r="C23" s="322"/>
      <c r="D23" s="322"/>
      <c r="E23" s="322"/>
    </row>
    <row r="24" spans="2:5" s="323" customFormat="1" ht="12.75">
      <c r="B24" s="324" t="s">
        <v>340</v>
      </c>
      <c r="C24" s="325"/>
      <c r="D24" s="322"/>
      <c r="E24" s="322"/>
    </row>
    <row r="26" spans="2:5" ht="12.75">
      <c r="B26" s="43" t="s">
        <v>336</v>
      </c>
      <c r="C26" s="43" t="s">
        <v>339</v>
      </c>
      <c r="D26" s="78"/>
      <c r="E26" s="78"/>
    </row>
    <row r="27" spans="2:5" ht="12.75">
      <c r="B27" s="43" t="s">
        <v>338</v>
      </c>
      <c r="C27" s="43" t="s">
        <v>339</v>
      </c>
      <c r="D27" s="78"/>
      <c r="E27" s="78"/>
    </row>
    <row r="29" spans="6:8" ht="12.75">
      <c r="F29" s="303"/>
      <c r="G29" s="320" t="s">
        <v>330</v>
      </c>
      <c r="H29" s="320"/>
    </row>
    <row r="30" spans="6:8" ht="12.75">
      <c r="F30" s="303"/>
      <c r="G30" s="320" t="s">
        <v>331</v>
      </c>
      <c r="H30" s="320"/>
    </row>
  </sheetData>
  <sheetProtection/>
  <mergeCells count="1">
    <mergeCell ref="D4:E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Directora</dc:creator>
  <cp:keywords/>
  <dc:description/>
  <cp:lastModifiedBy>lmondaca</cp:lastModifiedBy>
  <cp:lastPrinted>2015-09-14T17:14:52Z</cp:lastPrinted>
  <dcterms:created xsi:type="dcterms:W3CDTF">2014-05-06T21:08:24Z</dcterms:created>
  <dcterms:modified xsi:type="dcterms:W3CDTF">2016-11-30T21:39:31Z</dcterms:modified>
  <cp:category/>
  <cp:version/>
  <cp:contentType/>
  <cp:contentStatus/>
</cp:coreProperties>
</file>