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20" tabRatio="913" activeTab="1"/>
  </bookViews>
  <sheets>
    <sheet name="Ap. 1 Est. Precios " sheetId="1" r:id="rId1"/>
    <sheet name="Ap. 2 Ingresos C. Benef." sheetId="2" r:id="rId2"/>
    <sheet name="Ap. 3 Costos Directos" sheetId="3" r:id="rId3"/>
    <sheet name="Ap. 4 Costos Indirectos" sheetId="4" r:id="rId4"/>
    <sheet name="Ap. 5 Tarifado " sheetId="5" r:id="rId5"/>
    <sheet name="Ap. 6 Remuneraciones" sheetId="6" r:id="rId6"/>
    <sheet name="Consumos Basicos" sheetId="7" state="hidden" r:id="rId7"/>
    <sheet name="Cons. Bas. A Educ." sheetId="8" r:id="rId8"/>
  </sheets>
  <externalReferences>
    <externalReference r:id="rId11"/>
    <externalReference r:id="rId12"/>
  </externalReferences>
  <definedNames>
    <definedName name="_xlnm.Print_Area" localSheetId="0">'Ap. 1 Est. Precios '!$A$1:$E$25</definedName>
    <definedName name="_xlnm.Print_Area" localSheetId="1">'Ap. 2 Ingresos C. Benef.'!$A$1:$O$21</definedName>
    <definedName name="_xlnm.Print_Area" localSheetId="2">'Ap. 3 Costos Directos'!$A$7:$I$92</definedName>
    <definedName name="_xlnm.Print_Area" localSheetId="3">'Ap. 4 Costos Indirectos'!$A$1:$B$9</definedName>
    <definedName name="_xlnm.Print_Area" localSheetId="4">'Ap. 5 Tarifado '!$A$1:$J$10</definedName>
    <definedName name="Excel_BuiltIn_Print_Area_2_1">'Ap. 3 Costos Directos'!$A$1:$H$67</definedName>
    <definedName name="Excel_BuiltIn_Print_Titles_4">'Ap. 5 Tarifado '!#REF!</definedName>
    <definedName name="Excel_BuiltIn_Print_Titles_5">'Ap. 1 Est. Precios '!#REF!</definedName>
    <definedName name="_xlnm.Print_Titles" localSheetId="1">'Ap. 2 Ingresos C. Benef.'!$1:$17</definedName>
    <definedName name="_xlnm.Print_Titles" localSheetId="2">'Ap. 3 Costos Directos'!$1:$8</definedName>
    <definedName name="_xlnm.Print_Titles" localSheetId="3">'Ap. 4 Costos Indirectos'!$7:$8</definedName>
  </definedNames>
  <calcPr fullCalcOnLoad="1"/>
</workbook>
</file>

<file path=xl/comments3.xml><?xml version="1.0" encoding="utf-8"?>
<comments xmlns="http://schemas.openxmlformats.org/spreadsheetml/2006/main">
  <authors>
    <author>usuario</author>
    <author>Paulina</author>
    <author>Rojas Carlos P.A/C</author>
    <author>80708076</author>
  </authors>
  <commentList>
    <comment ref="D40" authorId="0">
      <text>
        <r>
          <rPr>
            <b/>
            <sz val="9"/>
            <rFont val="Tahoma"/>
            <family val="2"/>
          </rPr>
          <t>usuario:</t>
        </r>
        <r>
          <rPr>
            <sz val="9"/>
            <rFont val="Tahoma"/>
            <family val="2"/>
          </rPr>
          <t xml:space="preserve">
Proceso de fumigacion mensual $42.594 X6X 0,037 = 265.020.-
</t>
        </r>
      </text>
    </comment>
    <comment ref="D242" authorId="0">
      <text>
        <r>
          <rPr>
            <sz val="9"/>
            <rFont val="Tahoma"/>
            <family val="2"/>
          </rPr>
          <t>Corresponde a arancel año 2017 con IPC 3,7%
457.605*1,037=474.536</t>
        </r>
      </text>
    </comment>
    <comment ref="D63" authorId="0">
      <text>
        <r>
          <rPr>
            <b/>
            <sz val="9"/>
            <rFont val="Tahoma"/>
            <family val="2"/>
          </rPr>
          <t>usuario:</t>
        </r>
        <r>
          <rPr>
            <sz val="9"/>
            <rFont val="Tahoma"/>
            <family val="2"/>
          </rPr>
          <t>Reparaciones de Emergencias por mal Tiempo y daños temporal</t>
        </r>
      </text>
    </comment>
    <comment ref="D200" authorId="0">
      <text>
        <r>
          <rPr>
            <sz val="9"/>
            <rFont val="Tahoma"/>
            <family val="2"/>
          </rPr>
          <t xml:space="preserve">Renovacion  materrial educativo
Compra :
2 Set magnético 3 D  C62 a                            $    99.990.-
2 Aprendiendo Instrucciones                          $    29.988.-
2 Set magnético figuras geométricas  CE 77  $ 168.750.-
2 Puzzle  1 dia  de nilo  CE 65                         $   71.490.-
1 Tablero de números MA2                             $   41.988.-
4 Pizarra Caligráfica                                        $   11.988.-
2 Arma estampa tu palabra                            $    59.976.-
1 Números y Conteo magnético                      $   35.988.-
                                                          </t>
        </r>
        <r>
          <rPr>
            <b/>
            <sz val="9"/>
            <rFont val="Tahoma"/>
            <family val="2"/>
          </rPr>
          <t>Total    $ 618.988</t>
        </r>
        <r>
          <rPr>
            <sz val="9"/>
            <rFont val="Tahoma"/>
            <family val="2"/>
          </rPr>
          <t xml:space="preserve">
</t>
        </r>
      </text>
    </comment>
    <comment ref="D54" authorId="0">
      <text>
        <r>
          <rPr>
            <b/>
            <sz val="9"/>
            <rFont val="Tahoma"/>
            <family val="2"/>
          </rPr>
          <t>usuario:</t>
        </r>
        <r>
          <rPr>
            <sz val="9"/>
            <rFont val="Tahoma"/>
            <family val="2"/>
          </rPr>
          <t xml:space="preserve">
Valor de acuerdo a nueva negociación. 
$42.000*12+IPC  0,037%=522.648.-
</t>
        </r>
      </text>
    </comment>
    <comment ref="D76" authorId="0">
      <text>
        <r>
          <rPr>
            <sz val="9"/>
            <rFont val="Tahoma"/>
            <family val="2"/>
          </rPr>
          <t>Corresponde a arancel año 2017  con IPC 3,7 %
537.216*1,037=557.092</t>
        </r>
      </text>
    </comment>
    <comment ref="D248" authorId="0">
      <text>
        <r>
          <rPr>
            <b/>
            <sz val="9"/>
            <rFont val="Tahoma"/>
            <family val="2"/>
          </rPr>
          <t>usuario:</t>
        </r>
        <r>
          <rPr>
            <sz val="9"/>
            <rFont val="Tahoma"/>
            <family val="2"/>
          </rPr>
          <t xml:space="preserve">
Examen Sicologico Anual</t>
        </r>
      </text>
    </comment>
    <comment ref="D165" authorId="0">
      <text>
        <r>
          <rPr>
            <b/>
            <sz val="9"/>
            <rFont val="Tahoma"/>
            <family val="2"/>
          </rPr>
          <t>usuario:</t>
        </r>
        <r>
          <rPr>
            <sz val="9"/>
            <rFont val="Tahoma"/>
            <family val="2"/>
          </rPr>
          <t xml:space="preserve">
Examen Sicologico Anual</t>
        </r>
      </text>
    </comment>
    <comment ref="D186" authorId="0">
      <text>
        <r>
          <rPr>
            <b/>
            <sz val="9"/>
            <rFont val="Tahoma"/>
            <family val="2"/>
          </rPr>
          <t>usuario:</t>
        </r>
        <r>
          <rPr>
            <sz val="9"/>
            <rFont val="Tahoma"/>
            <family val="2"/>
          </rPr>
          <t xml:space="preserve">
Reunion Directoras</t>
        </r>
      </text>
    </comment>
    <comment ref="D206" authorId="0">
      <text>
        <r>
          <rPr>
            <b/>
            <sz val="9"/>
            <rFont val="Tahoma"/>
            <family val="2"/>
          </rPr>
          <t>usuario:</t>
        </r>
        <r>
          <rPr>
            <sz val="9"/>
            <rFont val="Tahoma"/>
            <family val="2"/>
          </rPr>
          <t xml:space="preserve">
Desratizacion en forma trimestral</t>
        </r>
      </text>
    </comment>
    <comment ref="D245" authorId="0">
      <text>
        <r>
          <rPr>
            <b/>
            <sz val="9"/>
            <rFont val="Tahoma"/>
            <family val="2"/>
          </rPr>
          <t>usuario:</t>
        </r>
        <r>
          <rPr>
            <sz val="9"/>
            <rFont val="Tahoma"/>
            <family val="2"/>
          </rPr>
          <t xml:space="preserve">
Capacitacion Personal
</t>
        </r>
      </text>
    </comment>
    <comment ref="D59" authorId="0">
      <text>
        <r>
          <rPr>
            <b/>
            <sz val="9"/>
            <rFont val="Tahoma"/>
            <family val="2"/>
          </rPr>
          <t>usuario:</t>
        </r>
        <r>
          <rPr>
            <sz val="9"/>
            <rFont val="Tahoma"/>
            <family val="2"/>
          </rPr>
          <t xml:space="preserve">
mantencion caldera, esto considera certificacion  de gas .
</t>
        </r>
      </text>
    </comment>
    <comment ref="D88" authorId="0">
      <text>
        <r>
          <rPr>
            <b/>
            <sz val="9"/>
            <rFont val="Tahoma"/>
            <family val="2"/>
          </rPr>
          <t>usuario:</t>
        </r>
        <r>
          <rPr>
            <sz val="9"/>
            <rFont val="Tahoma"/>
            <family val="2"/>
          </rPr>
          <t xml:space="preserve">
Compra:
1   Enceradora                 :$ 80.453.-
Reposición Refrigerador  :400.000.-
                       </t>
        </r>
        <r>
          <rPr>
            <b/>
            <sz val="9"/>
            <rFont val="Tahoma"/>
            <family val="2"/>
          </rPr>
          <t>Total       $ 480.453.- 
Con Proyección IPC 3,7 %  $498.230</t>
        </r>
      </text>
    </comment>
    <comment ref="D87" authorId="0">
      <text>
        <r>
          <rPr>
            <b/>
            <sz val="9"/>
            <rFont val="Tahoma"/>
            <family val="2"/>
          </rPr>
          <t>usuario:</t>
        </r>
        <r>
          <rPr>
            <sz val="9"/>
            <rFont val="Tahoma"/>
            <family val="2"/>
          </rPr>
          <t xml:space="preserve">
Compra :
Silla de Comer  8   C/U  59.990   : 479.200.-
1 Microondas                                : 49.990.-
1 Licuadora                                   : 31.990.- 
1 Extractor de Jugo                     : 29.990.-
1 Televisor de 40"                       :</t>
        </r>
        <r>
          <rPr>
            <i/>
            <sz val="9"/>
            <rFont val="Tahoma"/>
            <family val="2"/>
          </rPr>
          <t xml:space="preserve"> 329.990.- se elimina</t>
        </r>
        <r>
          <rPr>
            <sz val="9"/>
            <rFont val="Tahoma"/>
            <family val="2"/>
          </rPr>
          <t xml:space="preserve">
         </t>
        </r>
        <r>
          <rPr>
            <b/>
            <sz val="9"/>
            <rFont val="Tahoma"/>
            <family val="2"/>
          </rPr>
          <t xml:space="preserve"> Total                           : $ 921.160
                                    total   $591.170          
Valor Monto total con IPC  3,7% $955.242/$613.043
</t>
        </r>
      </text>
    </comment>
    <comment ref="D34" authorId="0">
      <text>
        <r>
          <rPr>
            <b/>
            <sz val="9"/>
            <rFont val="Tahoma"/>
            <family val="2"/>
          </rPr>
          <t>usuario:</t>
        </r>
        <r>
          <rPr>
            <sz val="9"/>
            <rFont val="Tahoma"/>
            <family val="2"/>
          </rPr>
          <t xml:space="preserve">
Compra :
4 Set Medios de Trasnporte                         : $ 42.260.-
4 Set de pelotas sensoriales                        : $71.8440.-
4 Set de Intrumentos musicales                  : $ 120.560.-
4 Set Cascabel Engranaje                           :  $ 20.756.-
4 Balancion magico                                      : $  38.280.-
4  Carrusel de estimulacion                         : $ 68.972.-
8  Puzzles de madera                                  : $ 71.520.-
5 Equipo sensorial auditiva                          : $31.530.-
4 Set Animales                                             :$102.116.-
4 Encajes de madera                                    : $30.012.-
2 Set motricidad Gruesa                               : $ 75.040.-
5 Juegos aplilables                                         : $79.749.-
                               </t>
        </r>
        <r>
          <rPr>
            <b/>
            <sz val="9"/>
            <rFont val="Tahoma"/>
            <family val="2"/>
          </rPr>
          <t xml:space="preserve"> Total                           : $752.626                    
Con proyeccion IPC 3,7  $ 780.473.-</t>
        </r>
      </text>
    </comment>
    <comment ref="D73" authorId="1">
      <text>
        <r>
          <rPr>
            <b/>
            <sz val="9"/>
            <rFont val="Tahoma"/>
            <family val="2"/>
          </rPr>
          <t xml:space="preserve">Datos obtenido de acuerdo a comportamiento lineal 2016 más IPC 3,7%   75% Sala Cuna Dia. Ademàs considera $120.000 Pasaje por comision del servicio.
Se deja solo pasaje para otros
</t>
        </r>
      </text>
    </comment>
    <comment ref="D84" authorId="1">
      <text>
        <r>
          <rPr>
            <b/>
            <sz val="9"/>
            <rFont val="Tahoma"/>
            <family val="2"/>
          </rPr>
          <t>Datos obtenido de acuerdo a comportamiento lineal periodo  2016 más IPC 3,7 %</t>
        </r>
      </text>
    </comment>
    <comment ref="D223" authorId="1">
      <text>
        <r>
          <rPr>
            <sz val="9"/>
            <rFont val="Tahoma"/>
            <family val="2"/>
          </rPr>
          <t xml:space="preserve">Pintado Interior, cambio bajada aguas lluvias, techumbre y cambio griferia.
</t>
        </r>
      </text>
    </comment>
    <comment ref="D49" authorId="1">
      <text>
        <r>
          <rPr>
            <sz val="9"/>
            <rFont val="Tahoma"/>
            <family val="2"/>
          </rPr>
          <t xml:space="preserve">Compra Gas por Emergencia, estufa de gas.
</t>
        </r>
      </text>
    </comment>
    <comment ref="D82" authorId="0">
      <text>
        <r>
          <rPr>
            <b/>
            <sz val="9"/>
            <rFont val="Tahoma"/>
            <family val="2"/>
          </rPr>
          <t>usuario:</t>
        </r>
        <r>
          <rPr>
            <sz val="9"/>
            <rFont val="Tahoma"/>
            <family val="2"/>
          </rPr>
          <t xml:space="preserve">
Examen Sicologico Anual
personal en proceso de selección u Control Interno.</t>
        </r>
      </text>
    </comment>
    <comment ref="E77" authorId="0">
      <text>
        <r>
          <rPr>
            <b/>
            <sz val="9"/>
            <rFont val="Tahoma"/>
            <family val="2"/>
          </rPr>
          <t>usuario:</t>
        </r>
        <r>
          <rPr>
            <sz val="9"/>
            <rFont val="Tahoma"/>
            <family val="2"/>
          </rPr>
          <t xml:space="preserve">
Base de Cálculo 0,268 UF por párvulo con valor referencial   UF $26.593  con Act. 3,7%   $27577
</t>
        </r>
      </text>
    </comment>
    <comment ref="D35" authorId="2">
      <text>
        <r>
          <rPr>
            <sz val="9"/>
            <rFont val="Tahoma"/>
            <family val="2"/>
          </rPr>
          <t xml:space="preserve">
Valor de acuerdo  acomportamiento año 2016 mas IPC proyectado 3,7%.</t>
        </r>
      </text>
    </comment>
    <comment ref="D43" authorId="2">
      <text>
        <r>
          <rPr>
            <sz val="9"/>
            <rFont val="Tahoma"/>
            <family val="2"/>
          </rPr>
          <t xml:space="preserve">
Valor de acuerdo  acomportamiento año 2016 mas IPC proyectado 3,7%.</t>
        </r>
      </text>
    </comment>
    <comment ref="D125" authorId="2">
      <text>
        <r>
          <rPr>
            <sz val="9"/>
            <rFont val="Tahoma"/>
            <family val="2"/>
          </rPr>
          <t xml:space="preserve">
Valor de acuerdo  acomportamiento año 2016 mas IPC proyectado 3,7%., 25% compotamiento año anterior</t>
        </r>
      </text>
    </comment>
    <comment ref="D156" authorId="1">
      <text>
        <r>
          <rPr>
            <b/>
            <sz val="9"/>
            <rFont val="Tahoma"/>
            <family val="2"/>
          </rPr>
          <t>Datos obtenido de acuerdo a comportamiento lineal 2016 más IPC 3,7%   25% Sala Cuna Noche.</t>
        </r>
      </text>
    </comment>
    <comment ref="E243" authorId="0">
      <text>
        <r>
          <rPr>
            <b/>
            <sz val="9"/>
            <rFont val="Tahoma"/>
            <family val="2"/>
          </rPr>
          <t>usuario:</t>
        </r>
        <r>
          <rPr>
            <sz val="9"/>
            <rFont val="Tahoma"/>
            <family val="2"/>
          </rPr>
          <t xml:space="preserve">
Base de Cálculo 0,268 UF por párvulo con valor referencial   UF $26.593  con Act. 3,7%   $27577
</t>
        </r>
      </text>
    </comment>
    <comment ref="D23" authorId="2">
      <text>
        <r>
          <rPr>
            <sz val="9"/>
            <rFont val="Tahoma"/>
            <family val="2"/>
          </rPr>
          <t xml:space="preserve">Considera personal con descuentos 2017
racion armada $1700
</t>
        </r>
      </text>
    </comment>
    <comment ref="D26" authorId="2">
      <text>
        <r>
          <rPr>
            <sz val="9"/>
            <rFont val="Tahoma"/>
            <family val="2"/>
          </rPr>
          <t xml:space="preserve">Considera Renovacion del 30 %  de los Sacos  de dormir.   C/U  25.000
</t>
        </r>
      </text>
    </comment>
    <comment ref="E24" authorId="2">
      <text>
        <r>
          <rPr>
            <b/>
            <sz val="9"/>
            <rFont val="Tahoma"/>
            <family val="2"/>
          </rPr>
          <t>Valor Racion</t>
        </r>
        <r>
          <rPr>
            <sz val="9"/>
            <rFont val="Tahoma"/>
            <family val="2"/>
          </rPr>
          <t xml:space="preserve">
</t>
        </r>
      </text>
    </comment>
    <comment ref="D42" authorId="2">
      <text>
        <r>
          <rPr>
            <sz val="9"/>
            <rFont val="Tahoma"/>
            <family val="2"/>
          </rPr>
          <t xml:space="preserve">
Valor de acuerdo  acomportamiento año 2016 mas IPC proyectado 3,7%., 75% compotamiento año anterior</t>
        </r>
      </text>
    </comment>
    <comment ref="D114" authorId="2">
      <text>
        <r>
          <rPr>
            <sz val="9"/>
            <rFont val="Tahoma"/>
            <family val="2"/>
          </rPr>
          <t xml:space="preserve">Considera traslado personal Sala Cuna Nocturna a  sus domicilios de acuerdo a comportamiento, considera traslados diarios.  
</t>
        </r>
      </text>
    </comment>
    <comment ref="D57" authorId="2">
      <text>
        <r>
          <rPr>
            <b/>
            <sz val="9"/>
            <rFont val="Tahoma"/>
            <family val="2"/>
          </rPr>
          <t>Considera lo siguiente:</t>
        </r>
        <r>
          <rPr>
            <sz val="9"/>
            <rFont val="Tahoma"/>
            <family val="2"/>
          </rPr>
          <t xml:space="preserve">
Limpieza Canaleta y aguas lluvias: 100.000
Pintura Interior Parcial                :2.500.000
Pintura Exterior Parcial                 :   500.000 
Mant. Puertas y Ventas Aluminio  :1.500.000</t>
        </r>
      </text>
    </comment>
    <comment ref="D41" authorId="2">
      <text>
        <r>
          <rPr>
            <b/>
            <sz val="9"/>
            <rFont val="Tahoma"/>
            <family val="2"/>
          </rPr>
          <t>Reposicion Ollas cocina  y  reposicion vajilla lactantes.</t>
        </r>
        <r>
          <rPr>
            <sz val="9"/>
            <rFont val="Tahoma"/>
            <family val="2"/>
          </rPr>
          <t xml:space="preserve">
</t>
        </r>
      </text>
    </comment>
    <comment ref="D31" authorId="3">
      <text>
        <r>
          <rPr>
            <sz val="8"/>
            <rFont val="Tahoma"/>
            <family val="2"/>
          </rPr>
          <t xml:space="preserve">Considera traslado alimentacion personal en forrma diaria.
</t>
        </r>
      </text>
    </comment>
    <comment ref="D79" authorId="3">
      <text>
        <r>
          <rPr>
            <b/>
            <sz val="8"/>
            <rFont val="Tahoma"/>
            <family val="2"/>
          </rPr>
          <t>Considera curso de perfeccionamiento y actualizaciòn procesos educativos.</t>
        </r>
        <r>
          <rPr>
            <sz val="8"/>
            <rFont val="Tahoma"/>
            <family val="2"/>
          </rPr>
          <t xml:space="preserve">
</t>
        </r>
      </text>
    </comment>
    <comment ref="D81" authorId="3">
      <text>
        <r>
          <rPr>
            <b/>
            <sz val="8"/>
            <rFont val="Tahoma"/>
            <family val="2"/>
          </rPr>
          <t>Certificacion gases cocina.</t>
        </r>
        <r>
          <rPr>
            <sz val="8"/>
            <rFont val="Tahoma"/>
            <family val="2"/>
          </rPr>
          <t xml:space="preserve">
</t>
        </r>
      </text>
    </comment>
  </commentList>
</comments>
</file>

<file path=xl/sharedStrings.xml><?xml version="1.0" encoding="utf-8"?>
<sst xmlns="http://schemas.openxmlformats.org/spreadsheetml/2006/main" count="828" uniqueCount="340">
  <si>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</si>
  <si>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</si>
  <si>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</si>
  <si>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</si>
  <si>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</si>
  <si>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</si>
  <si>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</si>
  <si>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</si>
  <si>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</si>
  <si>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</si>
  <si>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</si>
  <si>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</si>
  <si>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</si>
  <si>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</si>
  <si>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</si>
  <si>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</si>
  <si>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</si>
  <si>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</si>
  <si>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</si>
  <si>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 Anual por DL 3.500</t>
  </si>
  <si>
    <t>Ingresos
Matrícula</t>
  </si>
  <si>
    <t>Ingresos
Mensualidad</t>
  </si>
  <si>
    <t xml:space="preserve">Total Anual </t>
  </si>
  <si>
    <t>Jardín [Media Jornada]</t>
  </si>
  <si>
    <t>Tarifa [$/U]</t>
  </si>
  <si>
    <t>Unid. Anuales [Nr]</t>
  </si>
  <si>
    <t>Ingreso Anual [$]</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</si>
  <si>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</si>
  <si>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</si>
  <si>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</si>
  <si>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</si>
  <si>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</si>
  <si>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</si>
  <si>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</si>
  <si>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</si>
  <si>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</si>
  <si>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</si>
  <si>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</si>
  <si>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</si>
  <si>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</si>
  <si>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</si>
  <si>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</si>
  <si>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</si>
  <si>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</si>
  <si>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</si>
  <si>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</si>
  <si>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</si>
  <si>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</si>
  <si>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</si>
  <si>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</si>
  <si>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</si>
  <si>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</si>
  <si>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</si>
  <si>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</si>
  <si>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</si>
  <si>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</si>
  <si>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</si>
  <si>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</si>
  <si>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Servicio Activo</t>
  </si>
  <si>
    <t>Otras Ramas</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</si>
  <si>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</si>
  <si>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</si>
  <si>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</si>
  <si>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</si>
  <si>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</si>
  <si>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</si>
  <si>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</si>
  <si>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</si>
  <si>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</si>
  <si>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</si>
  <si>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</si>
  <si>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</si>
  <si>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</si>
  <si>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</si>
  <si>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</si>
  <si>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</si>
  <si>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</si>
  <si>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</si>
  <si>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</si>
  <si>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</si>
  <si>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</si>
  <si>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</si>
  <si>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</si>
  <si>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</si>
  <si>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</si>
  <si>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</si>
  <si>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</si>
  <si>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</si>
  <si>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</si>
  <si>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</si>
  <si>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</si>
  <si>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</si>
  <si>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</si>
  <si>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</si>
  <si>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</si>
  <si>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</si>
  <si>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</si>
  <si>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</si>
  <si>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</si>
  <si>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</si>
  <si>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</si>
  <si>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</si>
  <si>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</si>
  <si>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</si>
  <si>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</si>
  <si>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</si>
  <si>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</si>
  <si>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</si>
  <si>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</si>
  <si>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</si>
  <si>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</si>
  <si>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</si>
  <si>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</si>
  <si>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</si>
  <si>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</si>
  <si>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</si>
  <si>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</si>
  <si>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</si>
  <si>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</si>
  <si>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</si>
  <si>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</si>
  <si>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</si>
  <si>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</si>
  <si>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</si>
  <si>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</si>
  <si>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</si>
  <si>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</si>
  <si>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</si>
  <si>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</si>
  <si>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</si>
  <si>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</si>
  <si>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</si>
  <si>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</si>
  <si>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</si>
  <si>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</si>
  <si>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</si>
  <si>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</si>
  <si>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</si>
  <si>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</si>
  <si>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</si>
  <si>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</si>
  <si>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</si>
  <si>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</si>
  <si>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</si>
  <si>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</si>
  <si>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</si>
  <si>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</si>
  <si>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</si>
  <si>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</si>
  <si>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</si>
  <si>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</si>
  <si>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</si>
  <si>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</si>
  <si>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</si>
  <si>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</si>
  <si>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</si>
  <si>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</si>
  <si>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</si>
  <si>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</si>
  <si>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</si>
  <si>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</si>
  <si>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</si>
  <si>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</si>
  <si>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</si>
  <si>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</si>
  <si>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</si>
  <si>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</si>
  <si>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</si>
  <si>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</si>
  <si>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</si>
  <si>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</si>
  <si>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</si>
  <si>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</si>
  <si>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Sala Cuna [Diurna]</t>
  </si>
  <si>
    <t>SALA CUNA "BURBUJITA DE MAR" (NOCTURNA)</t>
  </si>
  <si>
    <t>SALA CUNA "BURBUJITA DE MAR"</t>
  </si>
  <si>
    <t>JARDIN INFANTIL "TORTUGUITA MARINA"</t>
  </si>
  <si>
    <t>TOTAL  BIENTALC</t>
  </si>
  <si>
    <t>BIENTALC</t>
  </si>
  <si>
    <t>Para vehiculos</t>
  </si>
  <si>
    <t>Gasto al 31/08/2013</t>
  </si>
  <si>
    <t>CEDIN (UNIVERSIDAD DE CONCEPCION</t>
  </si>
  <si>
    <t>ELECTRICIDAD</t>
  </si>
  <si>
    <t>AGUA</t>
  </si>
  <si>
    <t>GAS</t>
  </si>
  <si>
    <t>REAL 2013</t>
  </si>
  <si>
    <t>REAL 2014</t>
  </si>
  <si>
    <t>PROYECCION 2015</t>
  </si>
  <si>
    <t>Casa HO</t>
  </si>
  <si>
    <t>KW</t>
  </si>
  <si>
    <t>VALOR</t>
  </si>
  <si>
    <t>TOTAL</t>
  </si>
  <si>
    <t>M3</t>
  </si>
  <si>
    <t>LT</t>
  </si>
  <si>
    <t>Enero</t>
  </si>
  <si>
    <t>Febrero</t>
  </si>
  <si>
    <t>Marzo</t>
  </si>
  <si>
    <t>Abril</t>
  </si>
  <si>
    <t>Mayo</t>
  </si>
  <si>
    <t>Junio</t>
  </si>
  <si>
    <t>Julio</t>
  </si>
  <si>
    <t>Agosto</t>
  </si>
  <si>
    <t>Septiembre</t>
  </si>
  <si>
    <t>Octubre</t>
  </si>
  <si>
    <t>Noviembre</t>
  </si>
  <si>
    <t>Diciembre</t>
  </si>
  <si>
    <t>TOTALES</t>
  </si>
  <si>
    <t>ta</t>
  </si>
  <si>
    <t>tb</t>
  </si>
  <si>
    <t>total</t>
  </si>
  <si>
    <t>SALA CUNA</t>
  </si>
  <si>
    <t>SALA</t>
  </si>
  <si>
    <t>CUNA</t>
  </si>
  <si>
    <t xml:space="preserve">CUNA </t>
  </si>
  <si>
    <t>REAL 2015</t>
  </si>
  <si>
    <t>REAL Y PROY. 2016</t>
  </si>
  <si>
    <t>XXXXXXX</t>
  </si>
  <si>
    <t>GREEN GARDEN</t>
  </si>
  <si>
    <t>REAL  2016</t>
  </si>
  <si>
    <t>PROYECCION 2018 DIA</t>
  </si>
  <si>
    <t>PROYECCION 2018 NOCHE</t>
  </si>
  <si>
    <t>Anual</t>
  </si>
  <si>
    <t>Raciones Salla cuna Dia</t>
  </si>
  <si>
    <t>Promedio Ocupación  2016 (46)</t>
  </si>
  <si>
    <t>Proyeccion Ocupaciób  2017 (43)</t>
  </si>
  <si>
    <t>Proyeccion Ocupaciób  2017 (25)</t>
  </si>
  <si>
    <t>Raciones Salla cuna Noche</t>
  </si>
  <si>
    <t>Raciones Sala cuna Noche</t>
  </si>
  <si>
    <t>Promedio Ocupación  2016 (24)</t>
  </si>
  <si>
    <t>PROY. 2018</t>
  </si>
  <si>
    <t xml:space="preserve">reajuste </t>
  </si>
  <si>
    <t>Sala Cuna Diurna Completa </t>
  </si>
  <si>
    <t>Categoría</t>
  </si>
  <si>
    <t>Servicio activo</t>
  </si>
  <si>
    <t>PD/Gendarmería</t>
  </si>
  <si>
    <t>CAPREDENA</t>
  </si>
  <si>
    <t>Sala Cuna Nocturna</t>
  </si>
  <si>
    <t>Sala Cuna Diurna Media Jornada </t>
  </si>
  <si>
    <t>Armada</t>
  </si>
  <si>
    <t>Media Jornada</t>
  </si>
  <si>
    <t>PDI/Gendarmería</t>
  </si>
  <si>
    <t>PDI/ Gendarmeria</t>
  </si>
  <si>
    <t>DOTACION (14)</t>
  </si>
  <si>
    <t>Ed. De Párvulos</t>
  </si>
  <si>
    <t>Técnicos</t>
  </si>
  <si>
    <t>Aguinaldos y Bonos de Vac.</t>
  </si>
  <si>
    <t>Man. De Alimentos</t>
  </si>
  <si>
    <t>Aux.  De Aseo</t>
  </si>
  <si>
    <t>BONO VACACIONES</t>
  </si>
  <si>
    <t>Remuneración Mensual</t>
  </si>
  <si>
    <t>Remuneración Anual</t>
  </si>
  <si>
    <t>Reajuste</t>
  </si>
  <si>
    <t>Remuneración anual 2018</t>
  </si>
  <si>
    <t>Bono Término de Conflicto/vacaciones</t>
  </si>
  <si>
    <t>pasajes reunion de directoras y capacitaciones eventuales.</t>
  </si>
  <si>
    <t xml:space="preserve">5 tias </t>
  </si>
  <si>
    <t xml:space="preserve">delantal </t>
  </si>
  <si>
    <t>mensuales 4 viajes diarios</t>
  </si>
  <si>
    <t>se rebaja a 6400 por seguro y 35 niños</t>
  </si>
  <si>
    <t xml:space="preserve">12 fofis </t>
  </si>
  <si>
    <t>$1133544 movilizacion de madres, se financia con beneficio legal maternal</t>
  </si>
  <si>
    <t>Aguinaldos</t>
  </si>
  <si>
    <t>bonos</t>
  </si>
  <si>
    <t>se eliminan 250.000 de examenes psicologicos , que son considerados en sc diurna</t>
  </si>
  <si>
    <t>se contempla solo delantal para el personal</t>
  </si>
  <si>
    <t>25% del gasto total</t>
  </si>
  <si>
    <t>se elimina compra de tv</t>
  </si>
  <si>
    <t>se rebaja el 50%</t>
  </si>
  <si>
    <t>DOTACION (3)</t>
  </si>
  <si>
    <t>1educ sc dia</t>
  </si>
  <si>
    <t>1 tecnico ji</t>
  </si>
  <si>
    <t>matriculas/ mensualidades especiales</t>
  </si>
  <si>
    <t>AGUINALDO (2)</t>
  </si>
  <si>
    <t xml:space="preserve">AGUINALDO (2) </t>
  </si>
  <si>
    <t>DOTACION (11)</t>
  </si>
  <si>
    <t>se elimina examen  psicologico</t>
  </si>
  <si>
    <t>diferencia</t>
  </si>
  <si>
    <t>Sala Cuna [Diurna] 36</t>
  </si>
  <si>
    <t>Sala Cuna [Nocturna] 25</t>
  </si>
  <si>
    <t>Jardín [Media Jornada] 20</t>
  </si>
  <si>
    <t>$3.520.634 se elima movilizacion mamas lo que es asignado por beneficio legal maternal.</t>
  </si>
  <si>
    <t>7 sacos de dormir</t>
  </si>
  <si>
    <t>regalo de navidad</t>
  </si>
  <si>
    <t>Proyeccion Ocupaciób  2017 (37)</t>
  </si>
  <si>
    <t>11 fofis</t>
  </si>
  <si>
    <t>LOS VALORES % DEBEN REFLEJAR LA PROPORCIÓN DEL TIEMPO QUE EL TRABAJADOR DEDICA A CADA UNA DE LAS ÁREAS</t>
  </si>
  <si>
    <r>
      <t xml:space="preserve">TABLA 2: PERSONAL CON REMUNERACIÓN </t>
    </r>
    <r>
      <rPr>
        <b/>
        <u val="single"/>
        <sz val="11"/>
        <color indexed="60"/>
        <rFont val="Arial"/>
        <family val="2"/>
      </rPr>
      <t xml:space="preserve">FONDOS PROPIOS DE LA AREA INSTITUCIONAL </t>
    </r>
    <r>
      <rPr>
        <b/>
        <sz val="11"/>
        <rFont val="Arial"/>
        <family val="2"/>
      </rPr>
      <t>DEL DEPTO./DELEG.</t>
    </r>
  </si>
  <si>
    <t>N°</t>
  </si>
  <si>
    <t>DEPTO./DELEG.</t>
  </si>
  <si>
    <t>Nombre del Trabajador (AREA INSTITUCIONAL)</t>
  </si>
  <si>
    <t>Ocupación  / Cargo</t>
  </si>
  <si>
    <t>División / Unidad</t>
  </si>
  <si>
    <t>Total haberes mensual</t>
  </si>
  <si>
    <t>Total haberes mensual reajustado</t>
  </si>
  <si>
    <t>Total Haberes Anual reajustado</t>
  </si>
  <si>
    <t>Aguinaldos anual reajustado</t>
  </si>
  <si>
    <t>Bonos anual reajustado</t>
  </si>
  <si>
    <t>Remuneración Total Anual</t>
  </si>
  <si>
    <t>% tiempo dedicado al AREA RECREATIVA</t>
  </si>
  <si>
    <t>$ dedicado al
A. RECREATIVA</t>
  </si>
  <si>
    <t>% tiempo dedicado al AREA EDUCACIONAL</t>
  </si>
  <si>
    <t>$ dedicado al AREA EDUCACIONAL</t>
  </si>
  <si>
    <t>% tiempo dedicado al AREA COMERCIAL</t>
  </si>
  <si>
    <t>$ dedicado al AREA COMERCIAL</t>
  </si>
  <si>
    <t>% tiempo dedicado al AREA INSTITUCIONAL</t>
  </si>
  <si>
    <t>$ dedicado al AREA INSTITUCIONAL</t>
  </si>
  <si>
    <t>% TOTAL</t>
  </si>
  <si>
    <t>ACOSTA CARRERA ROMINA ARACELY</t>
  </si>
  <si>
    <t>Administrativo</t>
  </si>
  <si>
    <t>Finanzas</t>
  </si>
  <si>
    <t>ARRIAGADA AZOCAR DANIELA ALEJANDRA</t>
  </si>
  <si>
    <t>Analista de Cuentas y Cobranza</t>
  </si>
  <si>
    <t>CONSTANZO MONTECINOS ELSA GRACIELA</t>
  </si>
  <si>
    <t>Encargada de Presupuesto y Aná</t>
  </si>
  <si>
    <t>CORREA VILLA ROXANA FABIOLA</t>
  </si>
  <si>
    <t>Cajera</t>
  </si>
  <si>
    <t>FUENTEALBA REBOLLEDO PAMELA ALEJANDRA</t>
  </si>
  <si>
    <t>GARCIA ARREDONDO AMELIA PERLA</t>
  </si>
  <si>
    <t>Operadora de Sistemas</t>
  </si>
  <si>
    <t>GARCIA PONCE LILIAN ANDREA</t>
  </si>
  <si>
    <t>Encargado Recursos Humanos</t>
  </si>
  <si>
    <t>GARRIDO MIRANDA LUIS ARMANDO</t>
  </si>
  <si>
    <t>GOLLE PÉREZ DANIELA FRANCISCA</t>
  </si>
  <si>
    <t>GROTH VEGA ERIKA KATHERINE</t>
  </si>
  <si>
    <t>Encargada de Descuentos</t>
  </si>
  <si>
    <t>LAZCANO PEZO VICTOR ALEXIS</t>
  </si>
  <si>
    <t>Encargado Contratos y Planes</t>
  </si>
  <si>
    <t>MELLADO MEDINA MARITZA CRISTINA</t>
  </si>
  <si>
    <t>MUÑOZ CRUCES ROXANA ISABEL</t>
  </si>
  <si>
    <t>RAMIREZ SEPULVEDA JORGE GABRIEL</t>
  </si>
  <si>
    <t>Enc.Mantención Computacional</t>
  </si>
  <si>
    <t>ROJAS SOLAR CARLOS ALBERTO</t>
  </si>
  <si>
    <t>Contador</t>
  </si>
  <si>
    <t>SAAVEDRA PEREZ KATHERINE NINOSKA</t>
  </si>
  <si>
    <t>Administrativo Adquisiciones</t>
  </si>
  <si>
    <t>SALINAS RUIZ-TAGLE MATIAS EDUARDO</t>
  </si>
  <si>
    <t>Encargado de Infraestructura</t>
  </si>
  <si>
    <t>SOTO VILLEGAS SYLVIA EDIA</t>
  </si>
  <si>
    <t>Encargada de Auditoria Interna</t>
  </si>
  <si>
    <t>VALENCIA CORONADO HECTOR DAVID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</si>
</sst>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quot;-$&quot;* #,##0.00_-;_-\$* \-??_-;_-@_-"/>
    <numFmt numFmtId="173" formatCode="_-\$* #,##0_-;&quot;-$&quot;* #,##0_-;_-\$* \-_-;_-@_-"/>
    <numFmt numFmtId="174" formatCode="\$#,##0;[Red]&quot;-$&quot;#,##0"/>
    <numFmt numFmtId="175" formatCode="\$#,##0_);[Red]&quot;($&quot;#,##0\)"/>
    <numFmt numFmtId="176" formatCode="_-* #,##0.00_-;\-* #,##0.00_-;_-* \-??_-;_-@_-"/>
    <numFmt numFmtId="177" formatCode="_-* #,##0.0_-;\-* #,##0.0_-;_-* \-??_-;_-@_-"/>
    <numFmt numFmtId="178" formatCode="_-* #,##0_-;\-* #,##0_-;_-* \-??_-;_-@_-"/>
    <numFmt numFmtId="179" formatCode="_(* #,##0_);_(* \(#,##0\);_(* &quot;-&quot;_);_(@_)"/>
    <numFmt numFmtId="180" formatCode="_-&quot;$&quot;* #,##0.00_-;\-&quot;$&quot;* #,##0.00_-;_-&quot;$&quot;* &quot;-&quot;??_-;_-@_-"/>
    <numFmt numFmtId="181" formatCode="&quot;$&quot;#,##0_);[Red]\(&quot;$&quot;#,##0\)"/>
    <numFmt numFmtId="182" formatCode="&quot;$&quot;#,##0"/>
    <numFmt numFmtId="183" formatCode="0.0000000"/>
    <numFmt numFmtId="184" formatCode="0.000000"/>
    <numFmt numFmtId="185" formatCode="0.00000"/>
    <numFmt numFmtId="186" formatCode="0.0000"/>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_-;&quot;-$&quot;* #,##0_-;_-\$* \-??_-;_-@_-"/>
    <numFmt numFmtId="193" formatCode="_-* #,##0.000_-;\-* #,##0.000_-;_-* \-??_-;_-@_-"/>
    <numFmt numFmtId="194" formatCode="_-\$* #,##0.0_-;&quot;-$&quot;* #,##0.0_-;_-\$* \-??_-;_-@_-"/>
    <numFmt numFmtId="195" formatCode="_-\$* #,##0.0_-;&quot;-$&quot;* #,##0.0_-;_-\$* \-_-;_-@_-"/>
    <numFmt numFmtId="196" formatCode="_-\$* #,##0.00_-;&quot;-$&quot;* #,##0.00_-;_-\$* \-_-;_-@_-"/>
    <numFmt numFmtId="197" formatCode="&quot;$&quot;\ #,##0"/>
    <numFmt numFmtId="198" formatCode="0.0%"/>
    <numFmt numFmtId="199" formatCode="_-* #,##0_-;\-* #,##0_-;_-* &quot;-&quot;??_-;_-@_-"/>
  </numFmts>
  <fonts count="91">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i/>
      <sz val="10"/>
      <name val="Arial Narrow"/>
      <family val="2"/>
    </font>
    <font>
      <b/>
      <sz val="10"/>
      <name val="Arial"/>
      <family val="2"/>
    </font>
    <font>
      <b/>
      <sz val="12"/>
      <name val="Arial"/>
      <family val="2"/>
    </font>
    <font>
      <sz val="9"/>
      <name val="Tahoma"/>
      <family val="2"/>
    </font>
    <font>
      <b/>
      <sz val="9"/>
      <name val="Tahoma"/>
      <family val="2"/>
    </font>
    <font>
      <sz val="8"/>
      <name val="Tahoma"/>
      <family val="2"/>
    </font>
    <font>
      <b/>
      <sz val="8"/>
      <name val="Tahoma"/>
      <family val="2"/>
    </font>
    <font>
      <i/>
      <sz val="9"/>
      <name val="Tahoma"/>
      <family val="2"/>
    </font>
    <font>
      <sz val="9"/>
      <name val="Arial"/>
      <family val="2"/>
    </font>
    <font>
      <sz val="8"/>
      <name val="Arial"/>
      <family val="2"/>
    </font>
    <font>
      <b/>
      <sz val="9"/>
      <name val="Arial"/>
      <family val="2"/>
    </font>
    <font>
      <b/>
      <sz val="11"/>
      <name val="Arial"/>
      <family val="2"/>
    </font>
    <font>
      <sz val="11"/>
      <name val="Arial"/>
      <family val="2"/>
    </font>
    <font>
      <b/>
      <u val="single"/>
      <sz val="11"/>
      <color indexed="60"/>
      <name val="Arial"/>
      <family val="2"/>
    </font>
    <font>
      <b/>
      <sz val="8"/>
      <color indexed="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3"/>
      <color indexed="62"/>
      <name val="Calibri"/>
      <family val="2"/>
    </font>
    <font>
      <b/>
      <sz val="11"/>
      <color indexed="8"/>
      <name val="Calibri"/>
      <family val="2"/>
    </font>
    <font>
      <b/>
      <sz val="10"/>
      <color indexed="10"/>
      <name val="Arial Narrow"/>
      <family val="2"/>
    </font>
    <font>
      <sz val="10"/>
      <color indexed="10"/>
      <name val="Arial Narrow"/>
      <family val="2"/>
    </font>
    <font>
      <sz val="12"/>
      <color indexed="53"/>
      <name val="Arial"/>
      <family val="2"/>
    </font>
    <font>
      <b/>
      <sz val="12"/>
      <color indexed="9"/>
      <name val="Arial"/>
      <family val="2"/>
    </font>
    <font>
      <sz val="12"/>
      <color indexed="55"/>
      <name val="Arial"/>
      <family val="2"/>
    </font>
    <font>
      <sz val="10"/>
      <color indexed="10"/>
      <name val="Arial"/>
      <family val="2"/>
    </font>
    <font>
      <sz val="9"/>
      <color indexed="8"/>
      <name val="Calibri"/>
      <family val="2"/>
    </font>
    <font>
      <b/>
      <sz val="10"/>
      <color indexed="9"/>
      <name val="Arial"/>
      <family val="2"/>
    </font>
    <font>
      <b/>
      <sz val="9"/>
      <color indexed="9"/>
      <name val="Arial"/>
      <family val="2"/>
    </font>
    <font>
      <sz val="9"/>
      <color indexed="8"/>
      <name val="Arial"/>
      <family val="2"/>
    </font>
    <font>
      <b/>
      <sz val="12"/>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Narrow"/>
      <family val="2"/>
    </font>
    <font>
      <sz val="10"/>
      <color rgb="FFFF0000"/>
      <name val="Arial Narrow"/>
      <family val="2"/>
    </font>
    <font>
      <sz val="10"/>
      <color rgb="FFFF0000"/>
      <name val="Arial"/>
      <family val="2"/>
    </font>
    <font>
      <sz val="9"/>
      <color theme="1"/>
      <name val="Calibri"/>
      <family val="2"/>
    </font>
    <font>
      <b/>
      <sz val="10"/>
      <color theme="0"/>
      <name val="Arial"/>
      <family val="2"/>
    </font>
    <font>
      <b/>
      <sz val="9"/>
      <color theme="0"/>
      <name val="Arial"/>
      <family val="2"/>
    </font>
    <font>
      <sz val="9"/>
      <color theme="1"/>
      <name val="Arial"/>
      <family val="2"/>
    </font>
    <font>
      <b/>
      <sz val="12"/>
      <color theme="0"/>
      <name val="Arial"/>
      <family val="2"/>
    </font>
    <font>
      <b/>
      <sz val="12"/>
      <color rgb="FFFF0000"/>
      <name val="Arial"/>
      <family val="2"/>
    </font>
    <font>
      <b/>
      <sz val="10"/>
      <color theme="1"/>
      <name val="Arial Narrow"/>
      <family val="2"/>
    </font>
    <font>
      <sz val="10"/>
      <color theme="1"/>
      <name val="Arial Narrow"/>
      <family val="2"/>
    </font>
    <font>
      <sz val="12"/>
      <color rgb="FFFF6000"/>
      <name val="Arial"/>
      <family val="2"/>
    </font>
    <font>
      <b/>
      <sz val="12"/>
      <color rgb="FFFCFCFC"/>
      <name val="Arial"/>
      <family val="2"/>
    </font>
    <font>
      <sz val="12"/>
      <color rgb="FF666666"/>
      <name val="Arial"/>
      <family val="2"/>
    </font>
  </fonts>
  <fills count="7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8"/>
        <bgColor indexed="64"/>
      </patternFill>
    </fill>
    <fill>
      <patternFill patternType="solid">
        <fgColor indexed="51"/>
        <bgColor indexed="64"/>
      </patternFill>
    </fill>
    <fill>
      <patternFill patternType="solid">
        <fgColor theme="0" tint="-0.24997000396251678"/>
        <bgColor indexed="64"/>
      </patternFill>
    </fill>
    <fill>
      <patternFill patternType="lightUp">
        <bgColor theme="0" tint="-0.24997000396251678"/>
      </patternFill>
    </fill>
    <fill>
      <patternFill patternType="solid">
        <fgColor theme="0"/>
        <bgColor indexed="64"/>
      </patternFill>
    </fill>
    <fill>
      <patternFill patternType="solid">
        <fgColor rgb="FFFF66FF"/>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rgb="FFFFFF99"/>
        <bgColor indexed="64"/>
      </patternFill>
    </fill>
    <fill>
      <patternFill patternType="solid">
        <fgColor indexed="45"/>
        <bgColor indexed="64"/>
      </patternFill>
    </fill>
    <fill>
      <patternFill patternType="lightUp">
        <fgColor indexed="55"/>
        <bgColor indexed="23"/>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FF"/>
        <bgColor indexed="64"/>
      </patternFill>
    </fill>
    <fill>
      <patternFill patternType="solid">
        <fgColor rgb="FF002060"/>
        <bgColor indexed="64"/>
      </patternFill>
    </fill>
    <fill>
      <patternFill patternType="solid">
        <fgColor theme="0" tint="-0.3499799966812134"/>
        <bgColor indexed="64"/>
      </patternFill>
    </fill>
    <fill>
      <patternFill patternType="solid">
        <fgColor rgb="FFC0000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rgb="FFCCFF99"/>
        <bgColor indexed="64"/>
      </patternFill>
    </fill>
    <fill>
      <patternFill patternType="solid">
        <fgColor rgb="FFCCECFF"/>
        <bgColor indexed="64"/>
      </patternFill>
    </fill>
    <fill>
      <patternFill patternType="solid">
        <fgColor rgb="FFFFCCFF"/>
        <bgColor indexed="64"/>
      </patternFill>
    </fill>
    <fill>
      <patternFill patternType="solid">
        <fgColor indexed="13"/>
        <bgColor indexed="64"/>
      </patternFill>
    </fill>
    <fill>
      <patternFill patternType="solid">
        <fgColor indexed="47"/>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theme="9" tint="0.5999900102615356"/>
        <bgColor indexed="64"/>
      </patternFill>
    </fill>
    <fill>
      <patternFill patternType="solid">
        <fgColor theme="0"/>
        <bgColor indexed="64"/>
      </patternFill>
    </fill>
    <fill>
      <patternFill patternType="solid">
        <fgColor rgb="FF92D050"/>
        <bgColor indexed="64"/>
      </patternFill>
    </fill>
    <fill>
      <patternFill patternType="solid">
        <fgColor rgb="FF6699CC"/>
        <bgColor indexed="64"/>
      </patternFill>
    </fill>
    <fill>
      <patternFill patternType="solid">
        <fgColor indexed="2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right style="thin"/>
      <top style="thin"/>
      <bottom style="thin"/>
    </border>
    <border>
      <left style="thin"/>
      <right/>
      <top style="thin"/>
      <bottom style="thin"/>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color indexed="63"/>
      </top>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right style="thin"/>
      <top style="thin"/>
      <bottom style="thin"/>
    </border>
    <border>
      <left style="thin">
        <color indexed="8"/>
      </left>
      <right style="medium"/>
      <top style="thin">
        <color indexed="8"/>
      </top>
      <bottom>
        <color indexed="63"/>
      </bottom>
    </border>
    <border>
      <left style="thin"/>
      <right style="medium"/>
      <top style="thin"/>
      <bottom style="medium"/>
    </border>
    <border>
      <left style="thin">
        <color indexed="8"/>
      </left>
      <right style="medium"/>
      <top style="thin">
        <color indexed="8"/>
      </top>
      <bottom style="thin">
        <color indexed="8"/>
      </bottom>
    </border>
    <border>
      <left>
        <color indexed="63"/>
      </left>
      <right/>
      <top style="thin"/>
      <bottom style="thin"/>
    </border>
    <border>
      <left style="thin"/>
      <right>
        <color indexed="63"/>
      </right>
      <top style="thin"/>
      <bottom>
        <color indexed="63"/>
      </bottom>
    </border>
    <border>
      <left/>
      <right/>
      <top style="thin"/>
      <bottom>
        <color indexed="63"/>
      </bottom>
    </border>
    <border>
      <left/>
      <right style="thin"/>
      <top style="thin"/>
      <bottom/>
    </border>
    <border>
      <left style="medium"/>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right style="thin"/>
      <top style="thin"/>
      <bottom/>
    </border>
    <border>
      <left style="thin"/>
      <right style="thin"/>
      <top/>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top style="thin">
        <color theme="1" tint="0.49998000264167786"/>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border>
    <border>
      <left/>
      <right/>
      <top style="thin">
        <color theme="1" tint="0.49998000264167786"/>
      </top>
      <bottom/>
    </border>
    <border>
      <left style="thick">
        <color rgb="FFFF0000"/>
      </left>
      <right style="thick">
        <color rgb="FFFF0000"/>
      </right>
      <top style="thick">
        <color rgb="FFFF0000"/>
      </top>
      <bottom style="thick">
        <color rgb="FFFF0000"/>
      </bottom>
    </border>
    <border>
      <left style="thin">
        <color rgb="FF0070C0"/>
      </left>
      <right style="thin">
        <color rgb="FF0070C0"/>
      </right>
      <top/>
      <bottom style="thin">
        <color rgb="FF0070C0"/>
      </bottom>
    </border>
    <border>
      <left style="thin">
        <color rgb="FF0070C0"/>
      </left>
      <right style="thin">
        <color rgb="FF0070C0"/>
      </right>
      <top style="thin">
        <color rgb="FF0070C0"/>
      </top>
      <bottom style="thin">
        <color rgb="FF0070C0"/>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right style="medium">
        <color indexed="8"/>
      </right>
      <top style="medium"/>
      <bottom>
        <color indexed="63"/>
      </bottom>
    </border>
    <border>
      <left style="medium">
        <color indexed="8"/>
      </left>
      <right style="thin">
        <color indexed="8"/>
      </right>
      <top style="medium"/>
      <bottom style="medium">
        <color indexed="8"/>
      </bottom>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top/>
      <bottom style="thin"/>
    </border>
    <border>
      <left/>
      <right/>
      <top/>
      <bottom style="thin"/>
    </border>
    <border>
      <left style="medium"/>
      <right>
        <color indexed="63"/>
      </right>
      <top style="thin"/>
      <bottom style="thin"/>
    </border>
    <border>
      <left/>
      <right style="medium"/>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color indexed="8"/>
      </top>
      <bottom style="thin">
        <color indexed="8"/>
      </bottom>
    </border>
    <border>
      <left/>
      <right/>
      <top style="thin">
        <color theme="1" tint="0.49998000264167786"/>
      </top>
      <bottom style="thin">
        <color theme="1" tint="0.49998000264167786"/>
      </bottom>
    </border>
    <border>
      <left style="thin"/>
      <right style="thin"/>
      <top style="medium"/>
      <bottom style="thin"/>
    </border>
    <border>
      <left style="medium"/>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76"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42" fontId="0" fillId="0" borderId="0" applyFill="0" applyBorder="0" applyAlignment="0" applyProtection="0"/>
    <xf numFmtId="0" fontId="7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471">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73" fontId="1" fillId="33" borderId="11" xfId="51" applyNumberFormat="1" applyFont="1" applyFill="1" applyBorder="1" applyAlignment="1" applyProtection="1">
      <alignment vertical="center"/>
      <protection/>
    </xf>
    <xf numFmtId="173" fontId="2" fillId="34" borderId="12" xfId="51"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73" fontId="2" fillId="35" borderId="0" xfId="51"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72" fontId="2" fillId="0" borderId="0" xfId="5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36" borderId="1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 fillId="34" borderId="14" xfId="0" applyFont="1" applyFill="1" applyBorder="1" applyAlignment="1" applyProtection="1">
      <alignment vertical="center" wrapText="1"/>
      <protection/>
    </xf>
    <xf numFmtId="0" fontId="1" fillId="37" borderId="15" xfId="0" applyFont="1" applyFill="1" applyBorder="1" applyAlignment="1" applyProtection="1">
      <alignment vertical="center" wrapText="1"/>
      <protection/>
    </xf>
    <xf numFmtId="0" fontId="1" fillId="38" borderId="16" xfId="0" applyFont="1" applyFill="1" applyBorder="1" applyAlignment="1" applyProtection="1">
      <alignment vertical="center" wrapText="1"/>
      <protection/>
    </xf>
    <xf numFmtId="0" fontId="1" fillId="38" borderId="17" xfId="0" applyFont="1" applyFill="1" applyBorder="1" applyAlignment="1" applyProtection="1">
      <alignment vertical="center" wrapText="1"/>
      <protection/>
    </xf>
    <xf numFmtId="0" fontId="2" fillId="37" borderId="18" xfId="0" applyFont="1" applyFill="1" applyBorder="1" applyAlignment="1" applyProtection="1">
      <alignment vertical="center" wrapText="1"/>
      <protection/>
    </xf>
    <xf numFmtId="175" fontId="1" fillId="37" borderId="18" xfId="51" applyNumberFormat="1" applyFont="1" applyFill="1" applyBorder="1" applyAlignment="1" applyProtection="1">
      <alignment vertical="center" wrapText="1"/>
      <protection/>
    </xf>
    <xf numFmtId="0" fontId="1" fillId="0" borderId="0" xfId="0" applyFont="1" applyFill="1" applyAlignment="1" applyProtection="1">
      <alignment vertical="center"/>
      <protection/>
    </xf>
    <xf numFmtId="177" fontId="1" fillId="0" borderId="0" xfId="49"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7" borderId="11" xfId="0" applyFont="1" applyFill="1" applyBorder="1" applyAlignment="1" applyProtection="1">
      <alignment horizontal="left" vertical="center"/>
      <protection/>
    </xf>
    <xf numFmtId="0" fontId="4" fillId="37" borderId="11" xfId="0" applyFont="1" applyFill="1" applyBorder="1" applyAlignment="1" applyProtection="1">
      <alignment vertical="center"/>
      <protection/>
    </xf>
    <xf numFmtId="0" fontId="5" fillId="39" borderId="14" xfId="0" applyFont="1" applyFill="1" applyBorder="1" applyAlignment="1" applyProtection="1">
      <alignment vertical="center"/>
      <protection/>
    </xf>
    <xf numFmtId="0" fontId="2" fillId="40" borderId="14" xfId="0" applyFont="1" applyFill="1" applyBorder="1" applyAlignment="1" applyProtection="1">
      <alignment horizontal="center" vertical="center" wrapText="1"/>
      <protection/>
    </xf>
    <xf numFmtId="172" fontId="1" fillId="0" borderId="0" xfId="51"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5" fillId="39" borderId="11" xfId="0" applyFont="1" applyFill="1" applyBorder="1" applyAlignment="1" applyProtection="1">
      <alignment vertical="center" wrapText="1"/>
      <protection/>
    </xf>
    <xf numFmtId="0" fontId="2" fillId="37" borderId="11" xfId="0" applyFont="1" applyFill="1" applyBorder="1" applyAlignment="1" applyProtection="1">
      <alignment vertical="center"/>
      <protection/>
    </xf>
    <xf numFmtId="173" fontId="1" fillId="37" borderId="11" xfId="51" applyNumberFormat="1" applyFont="1" applyFill="1" applyBorder="1" applyAlignment="1" applyProtection="1">
      <alignment vertical="center"/>
      <protection/>
    </xf>
    <xf numFmtId="0" fontId="2" fillId="37" borderId="1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8" borderId="0" xfId="0" applyFont="1" applyFill="1" applyAlignment="1" applyProtection="1">
      <alignment horizontal="left" vertical="center"/>
      <protection/>
    </xf>
    <xf numFmtId="0" fontId="1" fillId="38" borderId="0" xfId="0" applyFont="1" applyFill="1" applyAlignment="1" applyProtection="1">
      <alignment vertical="center"/>
      <protection/>
    </xf>
    <xf numFmtId="0" fontId="2" fillId="38" borderId="20" xfId="0" applyFont="1" applyFill="1" applyBorder="1" applyAlignment="1" applyProtection="1">
      <alignment vertical="center"/>
      <protection/>
    </xf>
    <xf numFmtId="0" fontId="2" fillId="38" borderId="19" xfId="0" applyFont="1" applyFill="1" applyBorder="1" applyAlignment="1" applyProtection="1">
      <alignment vertical="center"/>
      <protection/>
    </xf>
    <xf numFmtId="0" fontId="2" fillId="38" borderId="0" xfId="0" applyFont="1" applyFill="1" applyBorder="1" applyAlignment="1" applyProtection="1">
      <alignment vertical="center"/>
      <protection/>
    </xf>
    <xf numFmtId="178" fontId="2" fillId="38" borderId="0" xfId="49" applyNumberFormat="1" applyFont="1" applyFill="1" applyBorder="1" applyAlignment="1" applyProtection="1">
      <alignment horizontal="center" vertical="center"/>
      <protection/>
    </xf>
    <xf numFmtId="0" fontId="1" fillId="37" borderId="20" xfId="0" applyFont="1" applyFill="1" applyBorder="1" applyAlignment="1" applyProtection="1">
      <alignment horizontal="center" vertical="center" wrapText="1"/>
      <protection/>
    </xf>
    <xf numFmtId="0" fontId="1" fillId="36" borderId="20"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6" borderId="14" xfId="0" applyFont="1" applyFill="1" applyBorder="1" applyAlignment="1" applyProtection="1">
      <alignment horizontal="center" vertical="center" wrapText="1"/>
      <protection/>
    </xf>
    <xf numFmtId="0" fontId="1" fillId="37" borderId="14" xfId="0" applyFont="1" applyFill="1" applyBorder="1" applyAlignment="1" applyProtection="1">
      <alignment horizontal="center" vertical="center" wrapText="1"/>
      <protection/>
    </xf>
    <xf numFmtId="0" fontId="1" fillId="38" borderId="14" xfId="0" applyFont="1" applyFill="1" applyBorder="1" applyAlignment="1" applyProtection="1">
      <alignment horizontal="center" vertical="center" wrapText="1"/>
      <protection/>
    </xf>
    <xf numFmtId="0" fontId="1" fillId="34" borderId="11" xfId="0" applyFont="1" applyFill="1" applyBorder="1" applyAlignment="1" applyProtection="1">
      <alignment horizontal="center" vertical="center" wrapText="1"/>
      <protection/>
    </xf>
    <xf numFmtId="0" fontId="4" fillId="34" borderId="14" xfId="0" applyFont="1" applyFill="1" applyBorder="1" applyAlignment="1" applyProtection="1">
      <alignment vertical="center"/>
      <protection/>
    </xf>
    <xf numFmtId="173" fontId="1" fillId="41" borderId="21" xfId="0" applyNumberFormat="1" applyFont="1" applyFill="1" applyBorder="1" applyAlignment="1" applyProtection="1">
      <alignment vertical="center"/>
      <protection/>
    </xf>
    <xf numFmtId="173" fontId="1" fillId="41" borderId="22" xfId="0" applyNumberFormat="1" applyFont="1" applyFill="1" applyBorder="1" applyAlignment="1" applyProtection="1">
      <alignment vertical="center"/>
      <protection/>
    </xf>
    <xf numFmtId="173" fontId="2" fillId="41" borderId="22" xfId="0" applyNumberFormat="1" applyFont="1" applyFill="1" applyBorder="1" applyAlignment="1" applyProtection="1">
      <alignment vertical="center"/>
      <protection/>
    </xf>
    <xf numFmtId="177" fontId="1" fillId="42" borderId="22" xfId="49" applyNumberFormat="1" applyFont="1" applyFill="1" applyBorder="1" applyAlignment="1" applyProtection="1">
      <alignment vertical="center"/>
      <protection/>
    </xf>
    <xf numFmtId="0" fontId="2" fillId="37" borderId="23" xfId="0" applyFont="1" applyFill="1" applyBorder="1" applyAlignment="1" applyProtection="1">
      <alignment horizontal="center" vertical="center"/>
      <protection/>
    </xf>
    <xf numFmtId="0" fontId="2" fillId="40" borderId="14" xfId="0" applyFont="1" applyFill="1" applyBorder="1" applyAlignment="1" applyProtection="1">
      <alignment horizontal="center" vertical="center"/>
      <protection/>
    </xf>
    <xf numFmtId="0" fontId="2" fillId="43" borderId="0" xfId="0" applyFont="1" applyFill="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8" fillId="0" borderId="10" xfId="0" applyFont="1" applyBorder="1" applyAlignment="1" applyProtection="1">
      <alignment horizontal="right" vertical="center"/>
      <protection/>
    </xf>
    <xf numFmtId="0" fontId="2" fillId="44" borderId="24" xfId="0" applyFont="1" applyFill="1" applyBorder="1" applyAlignment="1" applyProtection="1">
      <alignment vertical="center"/>
      <protection/>
    </xf>
    <xf numFmtId="181" fontId="4" fillId="44" borderId="24" xfId="51" applyNumberFormat="1" applyFont="1" applyFill="1" applyBorder="1" applyAlignment="1" applyProtection="1">
      <alignment vertical="center"/>
      <protection/>
    </xf>
    <xf numFmtId="0" fontId="6" fillId="45" borderId="24" xfId="0" applyFont="1" applyFill="1" applyBorder="1" applyAlignment="1" applyProtection="1">
      <alignment vertical="center"/>
      <protection/>
    </xf>
    <xf numFmtId="0" fontId="4" fillId="44" borderId="25" xfId="0" applyFont="1" applyFill="1" applyBorder="1" applyAlignment="1" applyProtection="1">
      <alignment horizontal="left" vertical="center"/>
      <protection/>
    </xf>
    <xf numFmtId="0" fontId="1" fillId="45" borderId="24"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4" fillId="46" borderId="0" xfId="0" applyFont="1" applyFill="1" applyBorder="1" applyAlignment="1" applyProtection="1">
      <alignment vertical="center"/>
      <protection/>
    </xf>
    <xf numFmtId="0" fontId="1" fillId="43" borderId="0" xfId="0" applyFont="1" applyFill="1" applyBorder="1" applyAlignment="1" applyProtection="1">
      <alignment vertical="center"/>
      <protection/>
    </xf>
    <xf numFmtId="0" fontId="2" fillId="37" borderId="11" xfId="0" applyFont="1" applyFill="1" applyBorder="1" applyAlignment="1" applyProtection="1">
      <alignment horizontal="center" vertical="center" wrapText="1"/>
      <protection/>
    </xf>
    <xf numFmtId="0" fontId="1" fillId="38" borderId="20" xfId="0" applyFont="1" applyFill="1" applyBorder="1" applyAlignment="1" applyProtection="1">
      <alignment vertical="center" wrapText="1"/>
      <protection/>
    </xf>
    <xf numFmtId="175" fontId="1" fillId="38" borderId="26" xfId="51" applyNumberFormat="1" applyFont="1" applyFill="1" applyBorder="1" applyAlignment="1" applyProtection="1">
      <alignment vertical="center"/>
      <protection/>
    </xf>
    <xf numFmtId="175" fontId="1" fillId="38" borderId="26" xfId="0" applyNumberFormat="1" applyFont="1" applyFill="1" applyBorder="1" applyAlignment="1" applyProtection="1">
      <alignment vertical="center"/>
      <protection/>
    </xf>
    <xf numFmtId="3" fontId="1" fillId="47" borderId="27" xfId="51" applyNumberFormat="1" applyFont="1" applyFill="1" applyBorder="1" applyAlignment="1" applyProtection="1">
      <alignment vertical="center"/>
      <protection/>
    </xf>
    <xf numFmtId="3" fontId="1" fillId="47" borderId="12" xfId="51" applyNumberFormat="1" applyFont="1" applyFill="1" applyBorder="1" applyAlignment="1" applyProtection="1">
      <alignment vertical="center"/>
      <protection/>
    </xf>
    <xf numFmtId="3" fontId="1" fillId="47" borderId="24" xfId="51" applyNumberFormat="1" applyFont="1" applyFill="1" applyBorder="1" applyAlignment="1" applyProtection="1">
      <alignment vertical="center"/>
      <protection/>
    </xf>
    <xf numFmtId="175" fontId="1" fillId="47" borderId="24" xfId="51" applyNumberFormat="1" applyFont="1" applyFill="1" applyBorder="1" applyAlignment="1" applyProtection="1">
      <alignment vertical="center"/>
      <protection/>
    </xf>
    <xf numFmtId="0" fontId="1" fillId="38" borderId="28" xfId="0" applyFont="1" applyFill="1" applyBorder="1" applyAlignment="1" applyProtection="1">
      <alignment vertical="center" wrapText="1"/>
      <protection/>
    </xf>
    <xf numFmtId="3" fontId="1" fillId="47" borderId="29" xfId="51" applyNumberFormat="1" applyFont="1" applyFill="1" applyBorder="1" applyAlignment="1" applyProtection="1">
      <alignment vertical="center"/>
      <protection/>
    </xf>
    <xf numFmtId="175" fontId="1" fillId="47" borderId="29" xfId="51" applyNumberFormat="1" applyFont="1" applyFill="1" applyBorder="1" applyAlignment="1" applyProtection="1">
      <alignment vertical="center"/>
      <protection/>
    </xf>
    <xf numFmtId="175" fontId="1" fillId="47" borderId="30" xfId="51" applyNumberFormat="1" applyFont="1" applyFill="1" applyBorder="1" applyAlignment="1" applyProtection="1">
      <alignment vertical="center"/>
      <protection/>
    </xf>
    <xf numFmtId="175" fontId="1" fillId="47" borderId="31" xfId="51" applyNumberFormat="1" applyFont="1" applyFill="1" applyBorder="1" applyAlignment="1" applyProtection="1">
      <alignment vertical="center"/>
      <protection/>
    </xf>
    <xf numFmtId="175" fontId="1" fillId="38" borderId="32" xfId="51" applyNumberFormat="1" applyFont="1" applyFill="1" applyBorder="1" applyAlignment="1" applyProtection="1">
      <alignment vertical="center"/>
      <protection/>
    </xf>
    <xf numFmtId="175" fontId="1" fillId="37" borderId="33" xfId="51" applyNumberFormat="1" applyFont="1" applyFill="1" applyBorder="1" applyAlignment="1" applyProtection="1">
      <alignment vertical="center" wrapText="1"/>
      <protection/>
    </xf>
    <xf numFmtId="3" fontId="1" fillId="47" borderId="34" xfId="51" applyNumberFormat="1" applyFont="1" applyFill="1" applyBorder="1" applyAlignment="1" applyProtection="1">
      <alignment vertical="center"/>
      <protection/>
    </xf>
    <xf numFmtId="3" fontId="1" fillId="47" borderId="31" xfId="51" applyNumberFormat="1" applyFont="1" applyFill="1" applyBorder="1" applyAlignment="1" applyProtection="1">
      <alignment vertical="center"/>
      <protection/>
    </xf>
    <xf numFmtId="173" fontId="1" fillId="33" borderId="11" xfId="51" applyNumberFormat="1" applyFont="1" applyFill="1" applyBorder="1" applyAlignment="1" applyProtection="1">
      <alignment horizontal="right" vertical="center"/>
      <protection/>
    </xf>
    <xf numFmtId="0" fontId="0" fillId="36" borderId="11" xfId="0" applyFont="1" applyFill="1" applyBorder="1" applyAlignment="1" applyProtection="1">
      <alignment horizontal="center"/>
      <protection/>
    </xf>
    <xf numFmtId="0" fontId="2" fillId="48" borderId="35" xfId="0" applyFont="1" applyFill="1" applyBorder="1" applyAlignment="1" applyProtection="1">
      <alignment vertical="center" wrapText="1"/>
      <protection/>
    </xf>
    <xf numFmtId="0" fontId="1" fillId="48" borderId="36" xfId="0" applyFont="1" applyFill="1" applyBorder="1" applyAlignment="1" applyProtection="1">
      <alignment vertical="center" wrapText="1"/>
      <protection/>
    </xf>
    <xf numFmtId="173" fontId="1" fillId="48" borderId="36" xfId="51" applyNumberFormat="1" applyFont="1" applyFill="1" applyBorder="1" applyAlignment="1" applyProtection="1">
      <alignment vertical="center"/>
      <protection/>
    </xf>
    <xf numFmtId="173" fontId="1" fillId="48" borderId="37" xfId="51" applyNumberFormat="1" applyFont="1" applyFill="1" applyBorder="1" applyAlignment="1" applyProtection="1">
      <alignment vertical="center"/>
      <protection/>
    </xf>
    <xf numFmtId="0" fontId="2" fillId="37" borderId="38" xfId="0" applyFont="1" applyFill="1" applyBorder="1" applyAlignment="1" applyProtection="1">
      <alignment vertical="center" wrapText="1"/>
      <protection/>
    </xf>
    <xf numFmtId="0" fontId="1" fillId="46" borderId="36" xfId="0" applyFont="1" applyFill="1" applyBorder="1" applyAlignment="1" applyProtection="1">
      <alignment vertical="center" wrapText="1"/>
      <protection/>
    </xf>
    <xf numFmtId="173" fontId="1" fillId="46" borderId="39" xfId="51" applyNumberFormat="1" applyFont="1" applyFill="1" applyBorder="1" applyAlignment="1" applyProtection="1">
      <alignment vertical="center"/>
      <protection/>
    </xf>
    <xf numFmtId="173" fontId="1" fillId="46" borderId="12" xfId="51" applyNumberFormat="1" applyFont="1" applyFill="1" applyBorder="1" applyAlignment="1" applyProtection="1">
      <alignment vertical="center"/>
      <protection/>
    </xf>
    <xf numFmtId="0" fontId="11" fillId="46" borderId="24" xfId="0" applyFont="1" applyFill="1" applyBorder="1" applyAlignment="1" applyProtection="1">
      <alignment vertical="center" wrapText="1"/>
      <protection/>
    </xf>
    <xf numFmtId="173" fontId="2" fillId="34" borderId="12" xfId="51" applyNumberFormat="1" applyFont="1" applyFill="1" applyBorder="1" applyAlignment="1" applyProtection="1">
      <alignment horizontal="right" vertical="center"/>
      <protection/>
    </xf>
    <xf numFmtId="173" fontId="2" fillId="34" borderId="11" xfId="51" applyNumberFormat="1" applyFont="1" applyFill="1" applyBorder="1" applyAlignment="1" applyProtection="1">
      <alignment horizontal="right" vertical="center"/>
      <protection/>
    </xf>
    <xf numFmtId="0" fontId="1" fillId="37" borderId="11" xfId="0" applyFont="1" applyFill="1" applyBorder="1" applyAlignment="1" applyProtection="1">
      <alignment horizontal="center" vertical="center" wrapText="1"/>
      <protection/>
    </xf>
    <xf numFmtId="173" fontId="1" fillId="0" borderId="0" xfId="0" applyNumberFormat="1" applyFont="1" applyAlignment="1" applyProtection="1">
      <alignment vertical="center"/>
      <protection/>
    </xf>
    <xf numFmtId="176" fontId="1" fillId="0" borderId="11" xfId="49" applyFont="1" applyFill="1" applyBorder="1" applyAlignment="1" applyProtection="1">
      <alignment vertical="center"/>
      <protection/>
    </xf>
    <xf numFmtId="3" fontId="0" fillId="0" borderId="0" xfId="0" applyNumberFormat="1" applyFont="1" applyAlignment="1" applyProtection="1">
      <alignment vertical="center"/>
      <protection/>
    </xf>
    <xf numFmtId="3" fontId="9" fillId="0" borderId="0" xfId="0" applyNumberFormat="1" applyFont="1" applyAlignment="1" applyProtection="1">
      <alignment vertical="center"/>
      <protection/>
    </xf>
    <xf numFmtId="173" fontId="1" fillId="40" borderId="40" xfId="51" applyNumberFormat="1" applyFont="1" applyFill="1" applyBorder="1" applyAlignment="1" applyProtection="1">
      <alignment vertical="center"/>
      <protection/>
    </xf>
    <xf numFmtId="173" fontId="1" fillId="36" borderId="11" xfId="51" applyNumberFormat="1" applyFont="1" applyFill="1" applyBorder="1" applyAlignment="1" applyProtection="1">
      <alignment vertical="center"/>
      <protection/>
    </xf>
    <xf numFmtId="176" fontId="1" fillId="0" borderId="14" xfId="49" applyFont="1" applyFill="1" applyBorder="1" applyAlignment="1" applyProtection="1">
      <alignment vertical="center"/>
      <protection/>
    </xf>
    <xf numFmtId="173" fontId="1" fillId="40" borderId="11" xfId="51" applyNumberFormat="1" applyFont="1" applyFill="1" applyBorder="1" applyAlignment="1" applyProtection="1">
      <alignment vertical="center"/>
      <protection/>
    </xf>
    <xf numFmtId="173" fontId="1" fillId="36" borderId="14" xfId="51" applyNumberFormat="1" applyFont="1" applyFill="1" applyBorder="1" applyAlignment="1" applyProtection="1">
      <alignment vertical="center"/>
      <protection/>
    </xf>
    <xf numFmtId="0" fontId="1" fillId="0" borderId="36" xfId="0" applyFont="1" applyFill="1" applyBorder="1" applyAlignment="1" applyProtection="1">
      <alignment vertical="center" wrapText="1"/>
      <protection/>
    </xf>
    <xf numFmtId="173" fontId="1" fillId="46" borderId="11" xfId="51" applyNumberFormat="1" applyFont="1" applyFill="1" applyBorder="1" applyAlignment="1" applyProtection="1">
      <alignment vertical="center"/>
      <protection/>
    </xf>
    <xf numFmtId="0" fontId="11" fillId="46" borderId="25" xfId="0" applyFont="1" applyFill="1" applyBorder="1" applyAlignment="1" applyProtection="1">
      <alignment vertical="center" wrapText="1"/>
      <protection/>
    </xf>
    <xf numFmtId="173" fontId="1" fillId="0" borderId="37" xfId="51" applyNumberFormat="1" applyFont="1" applyFill="1" applyBorder="1" applyAlignment="1" applyProtection="1">
      <alignment vertical="center"/>
      <protection/>
    </xf>
    <xf numFmtId="0" fontId="1" fillId="0" borderId="24" xfId="0" applyFont="1" applyFill="1" applyBorder="1" applyAlignment="1" applyProtection="1">
      <alignment vertical="center" wrapText="1"/>
      <protection/>
    </xf>
    <xf numFmtId="3" fontId="0" fillId="0" borderId="41" xfId="0" applyNumberFormat="1" applyFont="1" applyBorder="1" applyAlignment="1" applyProtection="1">
      <alignment vertical="center"/>
      <protection/>
    </xf>
    <xf numFmtId="3" fontId="12" fillId="0" borderId="41" xfId="0" applyNumberFormat="1" applyFont="1" applyBorder="1" applyAlignment="1" applyProtection="1">
      <alignment horizontal="center" vertical="center" wrapText="1"/>
      <protection/>
    </xf>
    <xf numFmtId="3" fontId="12" fillId="0" borderId="41" xfId="0" applyNumberFormat="1" applyFont="1" applyBorder="1" applyAlignment="1" applyProtection="1">
      <alignment vertical="center"/>
      <protection/>
    </xf>
    <xf numFmtId="0" fontId="2" fillId="36" borderId="42" xfId="0" applyFont="1" applyFill="1" applyBorder="1" applyAlignment="1" applyProtection="1">
      <alignment horizontal="center" vertical="center"/>
      <protection/>
    </xf>
    <xf numFmtId="173" fontId="2" fillId="41" borderId="43" xfId="0" applyNumberFormat="1" applyFont="1" applyFill="1" applyBorder="1" applyAlignment="1" applyProtection="1">
      <alignment vertical="center"/>
      <protection/>
    </xf>
    <xf numFmtId="173" fontId="1" fillId="36" borderId="44" xfId="51" applyNumberFormat="1" applyFont="1" applyFill="1" applyBorder="1" applyAlignment="1" applyProtection="1">
      <alignment vertical="center"/>
      <protection/>
    </xf>
    <xf numFmtId="173" fontId="1" fillId="36" borderId="42" xfId="51" applyNumberFormat="1" applyFont="1" applyFill="1" applyBorder="1" applyAlignment="1" applyProtection="1">
      <alignment vertical="center"/>
      <protection/>
    </xf>
    <xf numFmtId="0" fontId="13" fillId="0" borderId="0" xfId="0" applyFont="1" applyAlignment="1">
      <alignment/>
    </xf>
    <xf numFmtId="0" fontId="9" fillId="0" borderId="0" xfId="0" applyFont="1" applyAlignment="1">
      <alignment/>
    </xf>
    <xf numFmtId="0" fontId="12" fillId="0" borderId="0" xfId="0" applyFont="1" applyAlignment="1">
      <alignment/>
    </xf>
    <xf numFmtId="0" fontId="12" fillId="0" borderId="25" xfId="0" applyFont="1" applyBorder="1" applyAlignment="1">
      <alignment/>
    </xf>
    <xf numFmtId="0" fontId="12" fillId="0" borderId="45" xfId="0" applyFont="1" applyBorder="1" applyAlignment="1">
      <alignment/>
    </xf>
    <xf numFmtId="0" fontId="12" fillId="0" borderId="41" xfId="0" applyFont="1" applyBorder="1" applyAlignment="1">
      <alignment/>
    </xf>
    <xf numFmtId="0" fontId="12" fillId="0" borderId="46" xfId="0" applyFont="1" applyBorder="1" applyAlignment="1">
      <alignment/>
    </xf>
    <xf numFmtId="0" fontId="12" fillId="0" borderId="47" xfId="0" applyFont="1" applyBorder="1" applyAlignment="1">
      <alignment horizontal="center"/>
    </xf>
    <xf numFmtId="0" fontId="12" fillId="0" borderId="48" xfId="0" applyFont="1" applyBorder="1" applyAlignment="1">
      <alignment/>
    </xf>
    <xf numFmtId="0" fontId="12" fillId="0" borderId="24" xfId="0" applyFont="1" applyBorder="1" applyAlignment="1">
      <alignment/>
    </xf>
    <xf numFmtId="0" fontId="12" fillId="0" borderId="24" xfId="0" applyFont="1" applyBorder="1" applyAlignment="1">
      <alignment horizontal="center"/>
    </xf>
    <xf numFmtId="0" fontId="0" fillId="0" borderId="24" xfId="0" applyBorder="1" applyAlignment="1">
      <alignment/>
    </xf>
    <xf numFmtId="0" fontId="0" fillId="0" borderId="24" xfId="0" applyBorder="1" applyAlignment="1">
      <alignment horizontal="center"/>
    </xf>
    <xf numFmtId="3" fontId="0" fillId="0" borderId="24" xfId="0" applyNumberFormat="1" applyBorder="1" applyAlignment="1">
      <alignment/>
    </xf>
    <xf numFmtId="3" fontId="0" fillId="0" borderId="24" xfId="0" applyNumberFormat="1" applyBorder="1" applyAlignment="1">
      <alignment horizontal="center"/>
    </xf>
    <xf numFmtId="3" fontId="0" fillId="0" borderId="24" xfId="0" applyNumberFormat="1" applyFont="1" applyBorder="1" applyAlignment="1">
      <alignment horizontal="center"/>
    </xf>
    <xf numFmtId="0" fontId="0" fillId="0" borderId="24" xfId="0" applyFont="1" applyBorder="1" applyAlignment="1">
      <alignment/>
    </xf>
    <xf numFmtId="3" fontId="12" fillId="0" borderId="24" xfId="0" applyNumberFormat="1" applyFont="1" applyBorder="1" applyAlignment="1">
      <alignment/>
    </xf>
    <xf numFmtId="3" fontId="12" fillId="0" borderId="24" xfId="0" applyNumberFormat="1" applyFont="1" applyBorder="1" applyAlignment="1">
      <alignment horizontal="center"/>
    </xf>
    <xf numFmtId="3" fontId="0" fillId="0" borderId="0" xfId="0" applyNumberFormat="1" applyAlignment="1">
      <alignment/>
    </xf>
    <xf numFmtId="0" fontId="2" fillId="37" borderId="24" xfId="0" applyFont="1" applyFill="1" applyBorder="1" applyAlignment="1" applyProtection="1">
      <alignment horizontal="center" vertical="center"/>
      <protection/>
    </xf>
    <xf numFmtId="0" fontId="2" fillId="40" borderId="11" xfId="0" applyFont="1" applyFill="1" applyBorder="1" applyAlignment="1" applyProtection="1">
      <alignment horizontal="center" vertical="center"/>
      <protection/>
    </xf>
    <xf numFmtId="0" fontId="2" fillId="36" borderId="44" xfId="0" applyFont="1" applyFill="1" applyBorder="1" applyAlignment="1" applyProtection="1">
      <alignment horizontal="center" vertical="center"/>
      <protection/>
    </xf>
    <xf numFmtId="173" fontId="2" fillId="49" borderId="49" xfId="51" applyNumberFormat="1" applyFont="1" applyFill="1" applyBorder="1" applyAlignment="1" applyProtection="1">
      <alignment vertical="center"/>
      <protection/>
    </xf>
    <xf numFmtId="173" fontId="2" fillId="49" borderId="28" xfId="51" applyNumberFormat="1" applyFont="1" applyFill="1" applyBorder="1" applyAlignment="1" applyProtection="1">
      <alignment vertical="center"/>
      <protection/>
    </xf>
    <xf numFmtId="177" fontId="2" fillId="50" borderId="28" xfId="49" applyNumberFormat="1" applyFont="1" applyFill="1" applyBorder="1" applyAlignment="1" applyProtection="1">
      <alignment vertical="center"/>
      <protection/>
    </xf>
    <xf numFmtId="173" fontId="2" fillId="49" borderId="50" xfId="51" applyNumberFormat="1" applyFont="1" applyFill="1" applyBorder="1" applyAlignment="1" applyProtection="1">
      <alignment vertical="center"/>
      <protection/>
    </xf>
    <xf numFmtId="173" fontId="2" fillId="36" borderId="11" xfId="51" applyNumberFormat="1" applyFont="1" applyFill="1" applyBorder="1" applyAlignment="1" applyProtection="1">
      <alignment vertical="center"/>
      <protection/>
    </xf>
    <xf numFmtId="173" fontId="2" fillId="40" borderId="11" xfId="51" applyNumberFormat="1" applyFont="1" applyFill="1" applyBorder="1" applyAlignment="1" applyProtection="1">
      <alignment vertical="center"/>
      <protection/>
    </xf>
    <xf numFmtId="173" fontId="2" fillId="36" borderId="44" xfId="51" applyNumberFormat="1" applyFont="1" applyFill="1" applyBorder="1" applyAlignment="1" applyProtection="1">
      <alignment vertical="center"/>
      <protection/>
    </xf>
    <xf numFmtId="173" fontId="2" fillId="40" borderId="40" xfId="51" applyNumberFormat="1" applyFont="1" applyFill="1" applyBorder="1" applyAlignment="1" applyProtection="1">
      <alignment vertical="center"/>
      <protection/>
    </xf>
    <xf numFmtId="173" fontId="2" fillId="49" borderId="51" xfId="51" applyNumberFormat="1" applyFont="1" applyFill="1" applyBorder="1" applyAlignment="1" applyProtection="1">
      <alignment vertical="center"/>
      <protection/>
    </xf>
    <xf numFmtId="173" fontId="2" fillId="49" borderId="12" xfId="51" applyNumberFormat="1" applyFont="1" applyFill="1" applyBorder="1" applyAlignment="1" applyProtection="1">
      <alignment vertical="center"/>
      <protection/>
    </xf>
    <xf numFmtId="177" fontId="2" fillId="50" borderId="12" xfId="49" applyNumberFormat="1" applyFont="1" applyFill="1" applyBorder="1" applyAlignment="1" applyProtection="1">
      <alignment vertical="center"/>
      <protection/>
    </xf>
    <xf numFmtId="173" fontId="2" fillId="49" borderId="52" xfId="51" applyNumberFormat="1" applyFont="1" applyFill="1" applyBorder="1" applyAlignment="1" applyProtection="1">
      <alignment vertical="center"/>
      <protection/>
    </xf>
    <xf numFmtId="173" fontId="2" fillId="40" borderId="53" xfId="51" applyNumberFormat="1" applyFont="1" applyFill="1" applyBorder="1" applyAlignment="1" applyProtection="1">
      <alignment vertical="center"/>
      <protection/>
    </xf>
    <xf numFmtId="173" fontId="2" fillId="36" borderId="14" xfId="51" applyNumberFormat="1" applyFont="1" applyFill="1" applyBorder="1" applyAlignment="1" applyProtection="1">
      <alignment vertical="center"/>
      <protection/>
    </xf>
    <xf numFmtId="173" fontId="2" fillId="36" borderId="42" xfId="51" applyNumberFormat="1" applyFont="1" applyFill="1" applyBorder="1" applyAlignment="1" applyProtection="1">
      <alignment vertical="center"/>
      <protection/>
    </xf>
    <xf numFmtId="173" fontId="2" fillId="40" borderId="14" xfId="51" applyNumberFormat="1" applyFont="1" applyFill="1" applyBorder="1" applyAlignment="1" applyProtection="1">
      <alignment vertical="center"/>
      <protection/>
    </xf>
    <xf numFmtId="0" fontId="13" fillId="0" borderId="0" xfId="54" applyFont="1">
      <alignment/>
      <protection/>
    </xf>
    <xf numFmtId="0" fontId="0" fillId="0" borderId="0" xfId="54">
      <alignment/>
      <protection/>
    </xf>
    <xf numFmtId="0" fontId="12" fillId="0" borderId="0" xfId="54" applyFont="1">
      <alignment/>
      <protection/>
    </xf>
    <xf numFmtId="0" fontId="12" fillId="0" borderId="25" xfId="54" applyFont="1" applyBorder="1">
      <alignment/>
      <protection/>
    </xf>
    <xf numFmtId="0" fontId="12" fillId="0" borderId="45" xfId="54" applyFont="1" applyBorder="1">
      <alignment/>
      <protection/>
    </xf>
    <xf numFmtId="0" fontId="12" fillId="0" borderId="41" xfId="54" applyFont="1" applyBorder="1">
      <alignment/>
      <protection/>
    </xf>
    <xf numFmtId="0" fontId="12" fillId="0" borderId="46" xfId="54" applyFont="1" applyBorder="1">
      <alignment/>
      <protection/>
    </xf>
    <xf numFmtId="0" fontId="12" fillId="0" borderId="47" xfId="54" applyFont="1" applyBorder="1" applyAlignment="1">
      <alignment horizontal="center"/>
      <protection/>
    </xf>
    <xf numFmtId="0" fontId="12" fillId="0" borderId="48" xfId="54" applyFont="1" applyBorder="1">
      <alignment/>
      <protection/>
    </xf>
    <xf numFmtId="0" fontId="12" fillId="51" borderId="46" xfId="54" applyFont="1" applyFill="1" applyBorder="1">
      <alignment/>
      <protection/>
    </xf>
    <xf numFmtId="0" fontId="12" fillId="51" borderId="47" xfId="54" applyFont="1" applyFill="1" applyBorder="1" applyAlignment="1">
      <alignment horizontal="center"/>
      <protection/>
    </xf>
    <xf numFmtId="0" fontId="12" fillId="51" borderId="48" xfId="54" applyFont="1" applyFill="1" applyBorder="1">
      <alignment/>
      <protection/>
    </xf>
    <xf numFmtId="0" fontId="12" fillId="0" borderId="24" xfId="54" applyFont="1" applyBorder="1" applyAlignment="1">
      <alignment horizontal="center"/>
      <protection/>
    </xf>
    <xf numFmtId="0" fontId="12" fillId="51" borderId="24" xfId="54" applyFont="1" applyFill="1" applyBorder="1" applyAlignment="1">
      <alignment horizontal="center"/>
      <protection/>
    </xf>
    <xf numFmtId="0" fontId="0" fillId="0" borderId="24" xfId="54" applyBorder="1">
      <alignment/>
      <protection/>
    </xf>
    <xf numFmtId="0" fontId="0" fillId="0" borderId="24" xfId="54" applyBorder="1" applyAlignment="1">
      <alignment horizontal="center"/>
      <protection/>
    </xf>
    <xf numFmtId="3" fontId="0" fillId="0" borderId="24" xfId="54" applyNumberFormat="1" applyBorder="1">
      <alignment/>
      <protection/>
    </xf>
    <xf numFmtId="3" fontId="0" fillId="0" borderId="24" xfId="54" applyNumberFormat="1" applyBorder="1" applyAlignment="1">
      <alignment horizontal="center"/>
      <protection/>
    </xf>
    <xf numFmtId="3" fontId="0" fillId="0" borderId="24" xfId="54" applyNumberFormat="1" applyFont="1" applyBorder="1" applyAlignment="1">
      <alignment horizontal="center"/>
      <protection/>
    </xf>
    <xf numFmtId="3" fontId="0" fillId="51" borderId="24" xfId="54" applyNumberFormat="1" applyFont="1" applyFill="1" applyBorder="1" applyAlignment="1">
      <alignment horizontal="center"/>
      <protection/>
    </xf>
    <xf numFmtId="0" fontId="0" fillId="51" borderId="24" xfId="54" applyFill="1" applyBorder="1" applyAlignment="1">
      <alignment horizontal="center"/>
      <protection/>
    </xf>
    <xf numFmtId="3" fontId="0" fillId="51" borderId="24" xfId="54" applyNumberFormat="1" applyFill="1" applyBorder="1">
      <alignment/>
      <protection/>
    </xf>
    <xf numFmtId="0" fontId="0" fillId="0" borderId="24" xfId="54" applyFont="1" applyBorder="1">
      <alignment/>
      <protection/>
    </xf>
    <xf numFmtId="3" fontId="12" fillId="0" borderId="24" xfId="54" applyNumberFormat="1" applyFont="1" applyBorder="1">
      <alignment/>
      <protection/>
    </xf>
    <xf numFmtId="0" fontId="12" fillId="0" borderId="24" xfId="54" applyFont="1" applyBorder="1">
      <alignment/>
      <protection/>
    </xf>
    <xf numFmtId="3" fontId="12" fillId="51" borderId="24" xfId="54" applyNumberFormat="1" applyFont="1" applyFill="1" applyBorder="1">
      <alignment/>
      <protection/>
    </xf>
    <xf numFmtId="0" fontId="12" fillId="51" borderId="24" xfId="54" applyFont="1" applyFill="1" applyBorder="1">
      <alignment/>
      <protection/>
    </xf>
    <xf numFmtId="0" fontId="0" fillId="0" borderId="54" xfId="54" applyBorder="1">
      <alignment/>
      <protection/>
    </xf>
    <xf numFmtId="0" fontId="0" fillId="51" borderId="0" xfId="54" applyFill="1">
      <alignment/>
      <protection/>
    </xf>
    <xf numFmtId="10" fontId="0" fillId="0" borderId="38" xfId="54" applyNumberFormat="1" applyBorder="1">
      <alignment/>
      <protection/>
    </xf>
    <xf numFmtId="10" fontId="0" fillId="0" borderId="38" xfId="54" applyNumberFormat="1" applyBorder="1" applyAlignment="1">
      <alignment horizontal="center"/>
      <protection/>
    </xf>
    <xf numFmtId="0" fontId="12" fillId="0" borderId="54" xfId="54" applyFont="1" applyBorder="1">
      <alignment/>
      <protection/>
    </xf>
    <xf numFmtId="0" fontId="12" fillId="0" borderId="55" xfId="54" applyFont="1" applyBorder="1">
      <alignment/>
      <protection/>
    </xf>
    <xf numFmtId="0" fontId="0" fillId="51" borderId="24" xfId="54" applyFont="1" applyFill="1" applyBorder="1">
      <alignment/>
      <protection/>
    </xf>
    <xf numFmtId="4" fontId="0" fillId="0" borderId="0" xfId="0" applyNumberFormat="1" applyAlignment="1" applyProtection="1">
      <alignment horizontal="center"/>
      <protection/>
    </xf>
    <xf numFmtId="173" fontId="1" fillId="40" borderId="53" xfId="51" applyNumberFormat="1" applyFont="1" applyFill="1" applyBorder="1" applyAlignment="1" applyProtection="1">
      <alignment vertical="center"/>
      <protection/>
    </xf>
    <xf numFmtId="0" fontId="11" fillId="52" borderId="35" xfId="0" applyFont="1" applyFill="1" applyBorder="1" applyAlignment="1" applyProtection="1">
      <alignment vertical="center" wrapText="1"/>
      <protection/>
    </xf>
    <xf numFmtId="0" fontId="1" fillId="53" borderId="24" xfId="0" applyFont="1" applyFill="1" applyBorder="1" applyAlignment="1" applyProtection="1">
      <alignment vertical="center"/>
      <protection/>
    </xf>
    <xf numFmtId="173" fontId="1" fillId="53" borderId="24" xfId="51" applyNumberFormat="1" applyFont="1" applyFill="1" applyBorder="1" applyAlignment="1" applyProtection="1">
      <alignment vertical="center"/>
      <protection/>
    </xf>
    <xf numFmtId="173" fontId="1" fillId="53" borderId="37" xfId="51" applyNumberFormat="1" applyFont="1" applyFill="1" applyBorder="1" applyAlignment="1" applyProtection="1">
      <alignment vertical="center"/>
      <protection/>
    </xf>
    <xf numFmtId="0" fontId="1" fillId="52" borderId="36" xfId="0" applyFont="1" applyFill="1" applyBorder="1" applyAlignment="1" applyProtection="1">
      <alignment vertical="center" wrapText="1"/>
      <protection/>
    </xf>
    <xf numFmtId="173" fontId="1" fillId="52" borderId="10" xfId="51" applyNumberFormat="1" applyFont="1" applyFill="1" applyBorder="1" applyAlignment="1" applyProtection="1">
      <alignment vertical="center"/>
      <protection/>
    </xf>
    <xf numFmtId="173" fontId="1" fillId="52" borderId="23" xfId="51" applyNumberFormat="1" applyFont="1" applyFill="1" applyBorder="1" applyAlignment="1" applyProtection="1">
      <alignment vertical="center"/>
      <protection/>
    </xf>
    <xf numFmtId="3" fontId="1" fillId="0" borderId="0" xfId="0" applyNumberFormat="1" applyFont="1" applyAlignment="1" applyProtection="1">
      <alignment horizontal="right" vertical="center"/>
      <protection/>
    </xf>
    <xf numFmtId="3" fontId="0" fillId="0" borderId="24" xfId="54" applyNumberFormat="1" applyFont="1" applyFill="1" applyBorder="1" applyAlignment="1">
      <alignment horizontal="center"/>
      <protection/>
    </xf>
    <xf numFmtId="0" fontId="0" fillId="0" borderId="24" xfId="54" applyFill="1" applyBorder="1" applyAlignment="1">
      <alignment horizontal="center"/>
      <protection/>
    </xf>
    <xf numFmtId="3" fontId="0" fillId="0" borderId="24" xfId="54" applyNumberFormat="1" applyFill="1" applyBorder="1">
      <alignment/>
      <protection/>
    </xf>
    <xf numFmtId="3" fontId="0" fillId="0" borderId="24" xfId="54" applyNumberFormat="1" applyFill="1" applyBorder="1" applyAlignment="1">
      <alignment horizontal="center"/>
      <protection/>
    </xf>
    <xf numFmtId="2" fontId="77" fillId="0" borderId="0" xfId="0" applyNumberFormat="1" applyFont="1" applyAlignment="1" applyProtection="1">
      <alignment vertical="center"/>
      <protection/>
    </xf>
    <xf numFmtId="0" fontId="1" fillId="0" borderId="24" xfId="0" applyFont="1" applyBorder="1" applyAlignment="1" applyProtection="1">
      <alignment horizontal="center" vertical="center"/>
      <protection/>
    </xf>
    <xf numFmtId="0" fontId="1" fillId="0" borderId="24" xfId="0" applyFont="1" applyBorder="1" applyAlignment="1" applyProtection="1">
      <alignment vertical="center"/>
      <protection/>
    </xf>
    <xf numFmtId="0" fontId="77" fillId="0" borderId="24" xfId="0" applyFont="1" applyBorder="1" applyAlignment="1" applyProtection="1">
      <alignment horizontal="center" vertical="center"/>
      <protection/>
    </xf>
    <xf numFmtId="3" fontId="1" fillId="0" borderId="24" xfId="0" applyNumberFormat="1" applyFont="1" applyBorder="1" applyAlignment="1" applyProtection="1">
      <alignment horizontal="right" vertical="center"/>
      <protection/>
    </xf>
    <xf numFmtId="3" fontId="1" fillId="0" borderId="24" xfId="0" applyNumberFormat="1" applyFont="1" applyBorder="1" applyAlignment="1" applyProtection="1">
      <alignment vertical="center"/>
      <protection/>
    </xf>
    <xf numFmtId="3" fontId="1" fillId="0" borderId="24" xfId="0" applyNumberFormat="1" applyFont="1" applyBorder="1" applyAlignment="1" applyProtection="1">
      <alignment horizontal="center" vertical="center"/>
      <protection/>
    </xf>
    <xf numFmtId="2" fontId="78" fillId="0" borderId="24" xfId="0" applyNumberFormat="1" applyFont="1" applyBorder="1" applyAlignment="1" applyProtection="1">
      <alignment vertical="center"/>
      <protection/>
    </xf>
    <xf numFmtId="2" fontId="78" fillId="51" borderId="24" xfId="0" applyNumberFormat="1" applyFont="1" applyFill="1" applyBorder="1" applyAlignment="1" applyProtection="1">
      <alignment vertical="center"/>
      <protection/>
    </xf>
    <xf numFmtId="3" fontId="78" fillId="51" borderId="24" xfId="0" applyNumberFormat="1" applyFont="1" applyFill="1" applyBorder="1" applyAlignment="1" applyProtection="1">
      <alignment horizontal="right" vertical="center"/>
      <protection/>
    </xf>
    <xf numFmtId="173" fontId="1" fillId="0" borderId="24" xfId="51" applyNumberFormat="1" applyFont="1" applyFill="1" applyBorder="1" applyAlignment="1" applyProtection="1">
      <alignment vertical="center"/>
      <protection/>
    </xf>
    <xf numFmtId="9" fontId="0" fillId="0" borderId="0" xfId="0" applyNumberFormat="1" applyAlignment="1" applyProtection="1">
      <alignment/>
      <protection/>
    </xf>
    <xf numFmtId="9" fontId="0" fillId="0" borderId="0" xfId="56" applyAlignment="1" applyProtection="1">
      <alignment vertical="center"/>
      <protection/>
    </xf>
    <xf numFmtId="3" fontId="78" fillId="0" borderId="24" xfId="0" applyNumberFormat="1" applyFont="1" applyBorder="1" applyAlignment="1" applyProtection="1">
      <alignment vertical="center"/>
      <protection/>
    </xf>
    <xf numFmtId="3" fontId="2" fillId="0" borderId="24" xfId="0" applyNumberFormat="1" applyFont="1" applyBorder="1" applyAlignment="1" applyProtection="1">
      <alignment vertical="center"/>
      <protection/>
    </xf>
    <xf numFmtId="3" fontId="78" fillId="0" borderId="24" xfId="0" applyNumberFormat="1" applyFont="1" applyBorder="1" applyAlignment="1" applyProtection="1">
      <alignment horizontal="center" vertical="center"/>
      <protection/>
    </xf>
    <xf numFmtId="192" fontId="0" fillId="0" borderId="24" xfId="51" applyNumberFormat="1" applyFont="1" applyBorder="1" applyAlignment="1" applyProtection="1">
      <alignment vertical="center"/>
      <protection/>
    </xf>
    <xf numFmtId="192" fontId="0" fillId="0" borderId="24" xfId="51" applyNumberFormat="1" applyFont="1" applyBorder="1" applyAlignment="1" applyProtection="1">
      <alignment vertical="center"/>
      <protection/>
    </xf>
    <xf numFmtId="192" fontId="0" fillId="0" borderId="24" xfId="51" applyNumberFormat="1" applyBorder="1" applyAlignment="1" applyProtection="1">
      <alignment vertical="center"/>
      <protection/>
    </xf>
    <xf numFmtId="0" fontId="1" fillId="43" borderId="25" xfId="0" applyFont="1" applyFill="1" applyBorder="1" applyAlignment="1" applyProtection="1">
      <alignment horizontal="right" vertical="center"/>
      <protection/>
    </xf>
    <xf numFmtId="0" fontId="1" fillId="43" borderId="41" xfId="0" applyFont="1" applyFill="1" applyBorder="1" applyAlignment="1" applyProtection="1">
      <alignment horizontal="right" vertical="center"/>
      <protection/>
    </xf>
    <xf numFmtId="192" fontId="0" fillId="43" borderId="54" xfId="51" applyNumberFormat="1" applyFont="1" applyFill="1" applyBorder="1" applyAlignment="1" applyProtection="1">
      <alignment vertical="center"/>
      <protection/>
    </xf>
    <xf numFmtId="192" fontId="12" fillId="43" borderId="24" xfId="51" applyNumberFormat="1" applyFont="1" applyFill="1" applyBorder="1" applyAlignment="1" applyProtection="1">
      <alignment vertical="center"/>
      <protection/>
    </xf>
    <xf numFmtId="0" fontId="1" fillId="43" borderId="45" xfId="0" applyFont="1" applyFill="1" applyBorder="1" applyAlignment="1" applyProtection="1">
      <alignment horizontal="right" vertical="center"/>
      <protection/>
    </xf>
    <xf numFmtId="193" fontId="0" fillId="43" borderId="55" xfId="49" applyNumberFormat="1" applyFill="1" applyBorder="1" applyAlignment="1" applyProtection="1">
      <alignment horizontal="center" vertical="center"/>
      <protection/>
    </xf>
    <xf numFmtId="0" fontId="2" fillId="43" borderId="25" xfId="0" applyFont="1" applyFill="1" applyBorder="1" applyAlignment="1" applyProtection="1">
      <alignment horizontal="center" vertical="center"/>
      <protection/>
    </xf>
    <xf numFmtId="0" fontId="2" fillId="43" borderId="41" xfId="0" applyFont="1" applyFill="1" applyBorder="1" applyAlignment="1" applyProtection="1">
      <alignment horizontal="center" vertical="center"/>
      <protection/>
    </xf>
    <xf numFmtId="0" fontId="2" fillId="54" borderId="24" xfId="0" applyFont="1" applyFill="1" applyBorder="1" applyAlignment="1" applyProtection="1">
      <alignment vertical="center" wrapText="1"/>
      <protection/>
    </xf>
    <xf numFmtId="3" fontId="0" fillId="0" borderId="0" xfId="0" applyNumberFormat="1" applyFont="1" applyBorder="1" applyAlignment="1" applyProtection="1">
      <alignment vertical="center"/>
      <protection/>
    </xf>
    <xf numFmtId="3" fontId="12" fillId="0" borderId="0" xfId="0" applyNumberFormat="1" applyFont="1" applyBorder="1" applyAlignment="1" applyProtection="1">
      <alignment horizontal="center" vertical="center" wrapText="1"/>
      <protection/>
    </xf>
    <xf numFmtId="3" fontId="12" fillId="0" borderId="0" xfId="0" applyNumberFormat="1" applyFont="1" applyBorder="1" applyAlignment="1" applyProtection="1">
      <alignment vertical="center"/>
      <protection/>
    </xf>
    <xf numFmtId="3" fontId="79" fillId="0" borderId="0" xfId="0" applyNumberFormat="1" applyFont="1" applyBorder="1" applyAlignment="1" applyProtection="1">
      <alignment vertical="center"/>
      <protection/>
    </xf>
    <xf numFmtId="0" fontId="78" fillId="0" borderId="0" xfId="0" applyFont="1" applyAlignment="1" applyProtection="1">
      <alignment vertical="center"/>
      <protection/>
    </xf>
    <xf numFmtId="173" fontId="78" fillId="0" borderId="0" xfId="0" applyNumberFormat="1" applyFont="1" applyAlignment="1" applyProtection="1">
      <alignment vertical="center"/>
      <protection/>
    </xf>
    <xf numFmtId="173" fontId="78" fillId="40" borderId="40" xfId="51" applyNumberFormat="1" applyFont="1" applyFill="1" applyBorder="1" applyAlignment="1" applyProtection="1">
      <alignment vertical="center"/>
      <protection/>
    </xf>
    <xf numFmtId="173" fontId="78" fillId="36" borderId="11" xfId="51" applyNumberFormat="1" applyFont="1" applyFill="1" applyBorder="1" applyAlignment="1" applyProtection="1">
      <alignment vertical="center"/>
      <protection/>
    </xf>
    <xf numFmtId="173" fontId="77" fillId="40" borderId="11" xfId="51" applyNumberFormat="1" applyFont="1" applyFill="1" applyBorder="1" applyAlignment="1" applyProtection="1">
      <alignment vertical="center"/>
      <protection/>
    </xf>
    <xf numFmtId="173" fontId="77" fillId="36" borderId="44" xfId="51" applyNumberFormat="1" applyFont="1" applyFill="1" applyBorder="1" applyAlignment="1" applyProtection="1">
      <alignment vertical="center"/>
      <protection/>
    </xf>
    <xf numFmtId="192" fontId="79" fillId="0" borderId="0" xfId="51" applyNumberFormat="1" applyFont="1" applyBorder="1" applyAlignment="1" applyProtection="1">
      <alignment vertical="center"/>
      <protection/>
    </xf>
    <xf numFmtId="173" fontId="77" fillId="36" borderId="11" xfId="51" applyNumberFormat="1" applyFont="1" applyFill="1" applyBorder="1" applyAlignment="1" applyProtection="1">
      <alignment vertical="center"/>
      <protection/>
    </xf>
    <xf numFmtId="176" fontId="78" fillId="0" borderId="11" xfId="49" applyFont="1" applyFill="1" applyBorder="1" applyAlignment="1" applyProtection="1">
      <alignment vertical="center"/>
      <protection/>
    </xf>
    <xf numFmtId="173" fontId="78" fillId="40" borderId="53" xfId="51" applyNumberFormat="1" applyFont="1" applyFill="1" applyBorder="1" applyAlignment="1" applyProtection="1">
      <alignment vertical="center"/>
      <protection/>
    </xf>
    <xf numFmtId="173" fontId="78" fillId="36" borderId="14" xfId="51" applyNumberFormat="1" applyFont="1" applyFill="1" applyBorder="1" applyAlignment="1" applyProtection="1">
      <alignment vertical="center"/>
      <protection/>
    </xf>
    <xf numFmtId="176" fontId="78" fillId="0" borderId="14" xfId="49" applyFont="1" applyFill="1" applyBorder="1" applyAlignment="1" applyProtection="1">
      <alignment vertical="center"/>
      <protection/>
    </xf>
    <xf numFmtId="173" fontId="77" fillId="36" borderId="42" xfId="51" applyNumberFormat="1" applyFont="1" applyFill="1" applyBorder="1" applyAlignment="1" applyProtection="1">
      <alignment vertical="center"/>
      <protection/>
    </xf>
    <xf numFmtId="3" fontId="79" fillId="0" borderId="41" xfId="0" applyNumberFormat="1" applyFont="1" applyBorder="1" applyAlignment="1" applyProtection="1">
      <alignment vertical="center"/>
      <protection/>
    </xf>
    <xf numFmtId="3" fontId="0" fillId="0" borderId="0" xfId="54" applyNumberFormat="1">
      <alignment/>
      <protection/>
    </xf>
    <xf numFmtId="9" fontId="0" fillId="0" borderId="0" xfId="56" applyAlignment="1">
      <alignment/>
    </xf>
    <xf numFmtId="9" fontId="0" fillId="0" borderId="0" xfId="56" applyFont="1" applyBorder="1" applyAlignment="1" applyProtection="1">
      <alignment vertical="center"/>
      <protection/>
    </xf>
    <xf numFmtId="173" fontId="77" fillId="36" borderId="14" xfId="51" applyNumberFormat="1" applyFont="1" applyFill="1" applyBorder="1" applyAlignment="1" applyProtection="1">
      <alignment vertical="center"/>
      <protection/>
    </xf>
    <xf numFmtId="173" fontId="77" fillId="40" borderId="14" xfId="51" applyNumberFormat="1" applyFont="1" applyFill="1" applyBorder="1" applyAlignment="1" applyProtection="1">
      <alignment vertical="center"/>
      <protection/>
    </xf>
    <xf numFmtId="173" fontId="77" fillId="40" borderId="40" xfId="51" applyNumberFormat="1" applyFont="1" applyFill="1" applyBorder="1" applyAlignment="1" applyProtection="1">
      <alignment vertical="center"/>
      <protection/>
    </xf>
    <xf numFmtId="173" fontId="78" fillId="40" borderId="11" xfId="51" applyNumberFormat="1" applyFont="1" applyFill="1" applyBorder="1" applyAlignment="1" applyProtection="1">
      <alignment vertical="center"/>
      <protection/>
    </xf>
    <xf numFmtId="173" fontId="78" fillId="36" borderId="44" xfId="51" applyNumberFormat="1" applyFont="1" applyFill="1" applyBorder="1" applyAlignment="1" applyProtection="1">
      <alignment vertical="center"/>
      <protection/>
    </xf>
    <xf numFmtId="175" fontId="77" fillId="38" borderId="26" xfId="51" applyNumberFormat="1" applyFont="1" applyFill="1" applyBorder="1" applyAlignment="1" applyProtection="1">
      <alignment vertical="center"/>
      <protection/>
    </xf>
    <xf numFmtId="43" fontId="2" fillId="0" borderId="0" xfId="0" applyNumberFormat="1" applyFont="1" applyFill="1" applyAlignment="1" applyProtection="1">
      <alignment vertical="center"/>
      <protection/>
    </xf>
    <xf numFmtId="0" fontId="2" fillId="0" borderId="24" xfId="0" applyFont="1" applyBorder="1" applyAlignment="1" applyProtection="1">
      <alignment vertical="center"/>
      <protection/>
    </xf>
    <xf numFmtId="192" fontId="12" fillId="0" borderId="24" xfId="51" applyNumberFormat="1" applyFont="1" applyBorder="1" applyAlignment="1" applyProtection="1">
      <alignment vertical="center"/>
      <protection/>
    </xf>
    <xf numFmtId="0" fontId="2" fillId="0" borderId="0" xfId="51" applyNumberFormat="1" applyFont="1" applyFill="1" applyBorder="1" applyAlignment="1" applyProtection="1">
      <alignment vertical="center"/>
      <protection/>
    </xf>
    <xf numFmtId="173" fontId="1" fillId="55" borderId="11" xfId="51" applyNumberFormat="1" applyFont="1" applyFill="1" applyBorder="1" applyAlignment="1" applyProtection="1">
      <alignment vertical="center"/>
      <protection/>
    </xf>
    <xf numFmtId="192" fontId="0" fillId="0" borderId="0" xfId="51" applyNumberFormat="1" applyBorder="1" applyAlignment="1" applyProtection="1">
      <alignment vertical="center"/>
      <protection/>
    </xf>
    <xf numFmtId="173" fontId="1" fillId="33" borderId="20" xfId="51" applyNumberFormat="1" applyFont="1" applyFill="1" applyBorder="1" applyAlignment="1" applyProtection="1">
      <alignment horizontal="right" vertical="center"/>
      <protection/>
    </xf>
    <xf numFmtId="173" fontId="78" fillId="33" borderId="20" xfId="51" applyNumberFormat="1" applyFont="1" applyFill="1" applyBorder="1" applyAlignment="1" applyProtection="1">
      <alignment horizontal="right" vertical="center"/>
      <protection/>
    </xf>
    <xf numFmtId="9" fontId="0" fillId="0" borderId="24" xfId="56" applyBorder="1" applyAlignment="1" applyProtection="1">
      <alignment vertical="center"/>
      <protection/>
    </xf>
    <xf numFmtId="9" fontId="0" fillId="0" borderId="0" xfId="56" applyFill="1" applyAlignment="1" applyProtection="1">
      <alignment vertical="center"/>
      <protection/>
    </xf>
    <xf numFmtId="0" fontId="19" fillId="56" borderId="0" xfId="0" applyFont="1" applyFill="1" applyBorder="1" applyAlignment="1" applyProtection="1">
      <alignment horizontal="center" vertical="center"/>
      <protection/>
    </xf>
    <xf numFmtId="0" fontId="20" fillId="56" borderId="0" xfId="0" applyFont="1" applyFill="1" applyBorder="1" applyAlignment="1" applyProtection="1">
      <alignment horizontal="left" vertical="center"/>
      <protection/>
    </xf>
    <xf numFmtId="0" fontId="19" fillId="56" borderId="0" xfId="0" applyFont="1" applyFill="1" applyBorder="1" applyAlignment="1" applyProtection="1">
      <alignment horizontal="left" vertical="center"/>
      <protection/>
    </xf>
    <xf numFmtId="197" fontId="21" fillId="56" borderId="0" xfId="0" applyNumberFormat="1" applyFont="1" applyFill="1" applyBorder="1" applyAlignment="1" applyProtection="1">
      <alignment horizontal="right" vertical="center"/>
      <protection/>
    </xf>
    <xf numFmtId="197" fontId="22" fillId="51" borderId="25" xfId="0" applyNumberFormat="1" applyFont="1" applyFill="1" applyBorder="1" applyAlignment="1" applyProtection="1">
      <alignment horizontal="left" vertical="center"/>
      <protection/>
    </xf>
    <xf numFmtId="0" fontId="23" fillId="51" borderId="45" xfId="0" applyFont="1" applyFill="1" applyBorder="1" applyAlignment="1" applyProtection="1">
      <alignment/>
      <protection/>
    </xf>
    <xf numFmtId="197" fontId="22" fillId="51" borderId="45" xfId="0" applyNumberFormat="1" applyFont="1" applyFill="1" applyBorder="1" applyAlignment="1" applyProtection="1">
      <alignment horizontal="right" vertical="center"/>
      <protection/>
    </xf>
    <xf numFmtId="9" fontId="23" fillId="51" borderId="45" xfId="0" applyNumberFormat="1" applyFont="1" applyFill="1" applyBorder="1" applyAlignment="1" applyProtection="1">
      <alignment horizontal="center" vertical="center"/>
      <protection/>
    </xf>
    <xf numFmtId="9" fontId="23" fillId="51" borderId="41" xfId="0" applyNumberFormat="1" applyFont="1" applyFill="1" applyBorder="1" applyAlignment="1" applyProtection="1">
      <alignment horizontal="center" vertical="center"/>
      <protection/>
    </xf>
    <xf numFmtId="0" fontId="20" fillId="56" borderId="0" xfId="0" applyFont="1" applyFill="1" applyAlignment="1" applyProtection="1">
      <alignment/>
      <protection/>
    </xf>
    <xf numFmtId="0" fontId="19" fillId="56" borderId="0" xfId="0" applyFont="1" applyFill="1" applyAlignment="1" applyProtection="1">
      <alignment/>
      <protection/>
    </xf>
    <xf numFmtId="0" fontId="19" fillId="56" borderId="0" xfId="0" applyFont="1" applyFill="1" applyAlignment="1" applyProtection="1">
      <alignment horizontal="center" vertical="center"/>
      <protection/>
    </xf>
    <xf numFmtId="0" fontId="22" fillId="56" borderId="0" xfId="0" applyFont="1" applyFill="1" applyAlignment="1" applyProtection="1">
      <alignment horizontal="left" vertical="center"/>
      <protection/>
    </xf>
    <xf numFmtId="197" fontId="80" fillId="56" borderId="24" xfId="0" applyNumberFormat="1" applyFont="1" applyFill="1" applyBorder="1" applyAlignment="1" applyProtection="1">
      <alignment horizontal="center" vertical="center"/>
      <protection/>
    </xf>
    <xf numFmtId="198" fontId="21" fillId="56" borderId="24" xfId="56" applyNumberFormat="1" applyFont="1" applyFill="1" applyBorder="1" applyAlignment="1" applyProtection="1">
      <alignment horizontal="center" vertical="center"/>
      <protection/>
    </xf>
    <xf numFmtId="0" fontId="81" fillId="57" borderId="56" xfId="0" applyFont="1" applyFill="1" applyBorder="1" applyAlignment="1" applyProtection="1">
      <alignment horizontal="center" vertical="center"/>
      <protection/>
    </xf>
    <xf numFmtId="0" fontId="82" fillId="57" borderId="57" xfId="0" applyFont="1" applyFill="1" applyBorder="1" applyAlignment="1" applyProtection="1">
      <alignment horizontal="center" vertical="center" wrapText="1"/>
      <protection/>
    </xf>
    <xf numFmtId="0" fontId="82" fillId="57" borderId="56" xfId="0" applyFont="1" applyFill="1" applyBorder="1" applyAlignment="1" applyProtection="1">
      <alignment horizontal="center" vertical="center" wrapText="1"/>
      <protection/>
    </xf>
    <xf numFmtId="17" fontId="21" fillId="58" borderId="58" xfId="0" applyNumberFormat="1" applyFont="1" applyFill="1" applyBorder="1" applyAlignment="1" applyProtection="1">
      <alignment horizontal="center" vertical="center" wrapText="1"/>
      <protection/>
    </xf>
    <xf numFmtId="17" fontId="12" fillId="58" borderId="56" xfId="0" applyNumberFormat="1" applyFont="1" applyFill="1" applyBorder="1" applyAlignment="1" applyProtection="1">
      <alignment horizontal="center" vertical="center" wrapText="1"/>
      <protection/>
    </xf>
    <xf numFmtId="17" fontId="81" fillId="59" borderId="56" xfId="0" applyNumberFormat="1" applyFont="1" applyFill="1" applyBorder="1" applyAlignment="1" applyProtection="1">
      <alignment horizontal="center" vertical="center" wrapText="1"/>
      <protection/>
    </xf>
    <xf numFmtId="0" fontId="25" fillId="60" borderId="56" xfId="0" applyFont="1" applyFill="1" applyBorder="1" applyAlignment="1" applyProtection="1">
      <alignment horizontal="center" vertical="center" wrapText="1"/>
      <protection/>
    </xf>
    <xf numFmtId="0" fontId="25" fillId="61" borderId="56" xfId="0" applyFont="1" applyFill="1" applyBorder="1" applyAlignment="1" applyProtection="1">
      <alignment horizontal="center" vertical="center" wrapText="1"/>
      <protection/>
    </xf>
    <xf numFmtId="0" fontId="25" fillId="62" borderId="56" xfId="0" applyFont="1" applyFill="1" applyBorder="1" applyAlignment="1" applyProtection="1">
      <alignment horizontal="center" vertical="center" wrapText="1"/>
      <protection/>
    </xf>
    <xf numFmtId="0" fontId="25" fillId="63" borderId="56" xfId="0" applyFont="1" applyFill="1" applyBorder="1" applyAlignment="1" applyProtection="1">
      <alignment horizontal="center" vertical="center" wrapText="1"/>
      <protection/>
    </xf>
    <xf numFmtId="0" fontId="26" fillId="0" borderId="56" xfId="0" applyFont="1" applyFill="1" applyBorder="1" applyAlignment="1" applyProtection="1">
      <alignment horizontal="center" vertical="center" wrapText="1"/>
      <protection/>
    </xf>
    <xf numFmtId="197" fontId="19" fillId="0" borderId="0" xfId="0" applyNumberFormat="1" applyFont="1" applyFill="1" applyBorder="1" applyAlignment="1" applyProtection="1">
      <alignment/>
      <protection/>
    </xf>
    <xf numFmtId="0" fontId="20" fillId="56" borderId="56" xfId="0" applyFont="1" applyFill="1" applyBorder="1" applyAlignment="1" applyProtection="1">
      <alignment horizontal="center" vertical="center"/>
      <protection/>
    </xf>
    <xf numFmtId="0" fontId="19" fillId="56" borderId="56" xfId="0" applyFont="1" applyFill="1" applyBorder="1" applyAlignment="1" applyProtection="1">
      <alignment horizontal="left" vertical="center"/>
      <protection/>
    </xf>
    <xf numFmtId="49" fontId="83" fillId="43" borderId="59" xfId="0" applyNumberFormat="1" applyFont="1" applyFill="1" applyBorder="1" applyAlignment="1" applyProtection="1">
      <alignment/>
      <protection/>
    </xf>
    <xf numFmtId="0" fontId="19" fillId="56" borderId="60" xfId="0" applyFont="1" applyFill="1" applyBorder="1" applyAlignment="1" applyProtection="1">
      <alignment/>
      <protection/>
    </xf>
    <xf numFmtId="197" fontId="19" fillId="56" borderId="56" xfId="0" applyNumberFormat="1" applyFont="1" applyFill="1" applyBorder="1" applyAlignment="1" applyProtection="1">
      <alignment/>
      <protection/>
    </xf>
    <xf numFmtId="197" fontId="19" fillId="56" borderId="56" xfId="0" applyNumberFormat="1" applyFont="1" applyFill="1" applyBorder="1" applyAlignment="1" applyProtection="1">
      <alignment horizontal="right" vertical="center"/>
      <protection/>
    </xf>
    <xf numFmtId="198" fontId="19" fillId="0" borderId="56" xfId="0" applyNumberFormat="1" applyFont="1" applyFill="1" applyBorder="1" applyAlignment="1" applyProtection="1">
      <alignment horizontal="center" vertical="center"/>
      <protection/>
    </xf>
    <xf numFmtId="199" fontId="19" fillId="56" borderId="56" xfId="49" applyNumberFormat="1" applyFont="1" applyFill="1" applyBorder="1" applyAlignment="1" applyProtection="1">
      <alignment horizontal="center" vertical="center"/>
      <protection/>
    </xf>
    <xf numFmtId="198" fontId="19" fillId="0" borderId="56" xfId="56" applyNumberFormat="1" applyFont="1" applyFill="1" applyBorder="1" applyAlignment="1" applyProtection="1">
      <alignment horizontal="center" vertical="center"/>
      <protection/>
    </xf>
    <xf numFmtId="198" fontId="19" fillId="56" borderId="56" xfId="0" applyNumberFormat="1" applyFont="1" applyFill="1" applyBorder="1" applyAlignment="1" applyProtection="1">
      <alignment horizontal="center" vertical="center"/>
      <protection/>
    </xf>
    <xf numFmtId="197" fontId="19" fillId="56" borderId="57" xfId="0" applyNumberFormat="1" applyFont="1" applyFill="1" applyBorder="1" applyAlignment="1" applyProtection="1">
      <alignment horizontal="right" vertical="center"/>
      <protection/>
    </xf>
    <xf numFmtId="0" fontId="19" fillId="56" borderId="61" xfId="0" applyFont="1" applyFill="1" applyBorder="1" applyAlignment="1" applyProtection="1">
      <alignment horizontal="center" vertical="center"/>
      <protection/>
    </xf>
    <xf numFmtId="0" fontId="19" fillId="56" borderId="62" xfId="0" applyFont="1" applyFill="1" applyBorder="1" applyAlignment="1" applyProtection="1">
      <alignment/>
      <protection/>
    </xf>
    <xf numFmtId="0" fontId="19" fillId="56" borderId="62" xfId="0" applyFont="1" applyFill="1" applyBorder="1" applyAlignment="1" applyProtection="1">
      <alignment horizontal="left" vertical="center"/>
      <protection/>
    </xf>
    <xf numFmtId="197" fontId="19" fillId="56" borderId="0" xfId="0" applyNumberFormat="1" applyFont="1" applyFill="1" applyBorder="1" applyAlignment="1" applyProtection="1">
      <alignment/>
      <protection/>
    </xf>
    <xf numFmtId="197" fontId="19" fillId="56" borderId="62" xfId="0" applyNumberFormat="1" applyFont="1" applyFill="1" applyBorder="1" applyAlignment="1" applyProtection="1">
      <alignment/>
      <protection/>
    </xf>
    <xf numFmtId="197" fontId="21" fillId="56" borderId="56" xfId="0" applyNumberFormat="1" applyFont="1" applyFill="1" applyBorder="1" applyAlignment="1" applyProtection="1">
      <alignment horizontal="center" vertical="center"/>
      <protection/>
    </xf>
    <xf numFmtId="197" fontId="21" fillId="56" borderId="41" xfId="0" applyNumberFormat="1" applyFont="1" applyFill="1" applyBorder="1" applyAlignment="1" applyProtection="1">
      <alignment horizontal="right"/>
      <protection/>
    </xf>
    <xf numFmtId="197" fontId="21" fillId="0" borderId="24" xfId="0" applyNumberFormat="1" applyFont="1" applyFill="1" applyBorder="1" applyAlignment="1" applyProtection="1">
      <alignment/>
      <protection/>
    </xf>
    <xf numFmtId="197" fontId="21" fillId="0" borderId="25" xfId="0" applyNumberFormat="1" applyFont="1" applyFill="1" applyBorder="1" applyAlignment="1" applyProtection="1">
      <alignment/>
      <protection/>
    </xf>
    <xf numFmtId="197" fontId="84" fillId="59" borderId="0" xfId="0" applyNumberFormat="1" applyFont="1" applyFill="1" applyBorder="1" applyAlignment="1" applyProtection="1">
      <alignment horizontal="center" vertical="center"/>
      <protection/>
    </xf>
    <xf numFmtId="197" fontId="85" fillId="0" borderId="63" xfId="0" applyNumberFormat="1" applyFont="1" applyFill="1" applyBorder="1" applyAlignment="1" applyProtection="1">
      <alignment horizontal="center" vertical="center"/>
      <protection/>
    </xf>
    <xf numFmtId="197" fontId="21" fillId="0" borderId="0" xfId="0" applyNumberFormat="1" applyFont="1" applyFill="1" applyBorder="1" applyAlignment="1" applyProtection="1">
      <alignment/>
      <protection/>
    </xf>
    <xf numFmtId="0" fontId="21" fillId="0" borderId="0" xfId="0" applyFont="1" applyFill="1" applyBorder="1" applyAlignment="1" applyProtection="1">
      <alignment horizontal="left" vertical="center" wrapText="1"/>
      <protection/>
    </xf>
    <xf numFmtId="9" fontId="86" fillId="0" borderId="64" xfId="56" applyFont="1" applyFill="1" applyBorder="1" applyAlignment="1" applyProtection="1">
      <alignment horizontal="right"/>
      <protection/>
    </xf>
    <xf numFmtId="0" fontId="1" fillId="56" borderId="0" xfId="0" applyFont="1" applyFill="1" applyAlignment="1" applyProtection="1">
      <alignment/>
      <protection/>
    </xf>
    <xf numFmtId="9" fontId="87" fillId="0" borderId="65" xfId="56" applyFont="1" applyFill="1" applyBorder="1" applyAlignment="1" applyProtection="1">
      <alignment horizontal="right"/>
      <protection/>
    </xf>
    <xf numFmtId="9" fontId="87" fillId="0" borderId="64" xfId="56" applyFont="1" applyFill="1" applyBorder="1" applyAlignment="1" applyProtection="1">
      <alignment horizontal="right"/>
      <protection/>
    </xf>
    <xf numFmtId="173" fontId="4" fillId="34" borderId="14" xfId="51" applyNumberFormat="1" applyFont="1" applyFill="1" applyBorder="1" applyAlignment="1" applyProtection="1">
      <alignment vertical="center"/>
      <protection/>
    </xf>
    <xf numFmtId="0" fontId="20" fillId="51" borderId="45" xfId="0" applyFont="1" applyFill="1" applyBorder="1" applyAlignment="1" applyProtection="1">
      <alignment/>
      <protection/>
    </xf>
    <xf numFmtId="0" fontId="20" fillId="51" borderId="41" xfId="0" applyFont="1" applyFill="1" applyBorder="1" applyAlignment="1" applyProtection="1">
      <alignment/>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34" borderId="11"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1" fillId="37" borderId="15" xfId="0" applyFont="1" applyFill="1" applyBorder="1" applyAlignment="1" applyProtection="1">
      <alignment vertical="center" wrapText="1"/>
      <protection/>
    </xf>
    <xf numFmtId="0" fontId="2" fillId="64" borderId="66" xfId="0" applyFont="1" applyFill="1" applyBorder="1" applyAlignment="1" applyProtection="1">
      <alignment horizontal="center" vertical="center" wrapText="1"/>
      <protection/>
    </xf>
    <xf numFmtId="0" fontId="2" fillId="64" borderId="67" xfId="0" applyFont="1" applyFill="1" applyBorder="1" applyAlignment="1" applyProtection="1">
      <alignment horizontal="center" vertical="center" wrapText="1"/>
      <protection/>
    </xf>
    <xf numFmtId="0" fontId="2" fillId="64" borderId="68" xfId="0" applyFont="1" applyFill="1" applyBorder="1" applyAlignment="1" applyProtection="1">
      <alignment horizontal="center" vertical="center" wrapText="1"/>
      <protection/>
    </xf>
    <xf numFmtId="0" fontId="2" fillId="65" borderId="66" xfId="0" applyFont="1" applyFill="1" applyBorder="1" applyAlignment="1" applyProtection="1">
      <alignment horizontal="center" vertical="center" wrapText="1"/>
      <protection/>
    </xf>
    <xf numFmtId="0" fontId="2" fillId="65" borderId="67" xfId="0" applyFont="1" applyFill="1" applyBorder="1" applyAlignment="1" applyProtection="1">
      <alignment horizontal="center" vertical="center" wrapText="1"/>
      <protection/>
    </xf>
    <xf numFmtId="0" fontId="2" fillId="65" borderId="68" xfId="0" applyFont="1" applyFill="1" applyBorder="1" applyAlignment="1" applyProtection="1">
      <alignment horizontal="center" vertical="center" wrapText="1"/>
      <protection/>
    </xf>
    <xf numFmtId="0" fontId="2" fillId="66" borderId="69" xfId="0" applyFont="1" applyFill="1" applyBorder="1" applyAlignment="1" applyProtection="1">
      <alignment horizontal="center" vertical="center" wrapText="1"/>
      <protection/>
    </xf>
    <xf numFmtId="0" fontId="2" fillId="66" borderId="67" xfId="0" applyFont="1" applyFill="1" applyBorder="1" applyAlignment="1" applyProtection="1">
      <alignment horizontal="center" vertical="center" wrapText="1"/>
      <protection/>
    </xf>
    <xf numFmtId="0" fontId="2" fillId="66" borderId="68" xfId="0" applyFont="1" applyFill="1" applyBorder="1" applyAlignment="1" applyProtection="1">
      <alignment horizontal="center" vertical="center" wrapText="1"/>
      <protection/>
    </xf>
    <xf numFmtId="0" fontId="8" fillId="0" borderId="2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2" fillId="37" borderId="11" xfId="0" applyFont="1" applyFill="1" applyBorder="1" applyAlignment="1" applyProtection="1">
      <alignment horizontal="center" vertical="center" wrapText="1"/>
      <protection/>
    </xf>
    <xf numFmtId="0" fontId="1" fillId="37" borderId="70"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wrapText="1"/>
      <protection/>
    </xf>
    <xf numFmtId="0" fontId="12" fillId="67" borderId="25" xfId="0" applyFont="1" applyFill="1" applyBorder="1" applyAlignment="1" applyProtection="1">
      <alignment vertical="center"/>
      <protection/>
    </xf>
    <xf numFmtId="0" fontId="12" fillId="67" borderId="45" xfId="0" applyFont="1" applyFill="1" applyBorder="1" applyAlignment="1" applyProtection="1">
      <alignment vertical="center"/>
      <protection/>
    </xf>
    <xf numFmtId="0" fontId="12" fillId="67" borderId="71" xfId="0" applyFont="1" applyFill="1" applyBorder="1" applyAlignment="1" applyProtection="1">
      <alignment vertical="center"/>
      <protection/>
    </xf>
    <xf numFmtId="0" fontId="2" fillId="34" borderId="72" xfId="0" applyFont="1" applyFill="1" applyBorder="1" applyAlignment="1" applyProtection="1">
      <alignment vertical="center"/>
      <protection/>
    </xf>
    <xf numFmtId="0" fontId="2" fillId="34" borderId="73" xfId="0" applyFont="1" applyFill="1" applyBorder="1" applyAlignment="1" applyProtection="1">
      <alignment vertical="center"/>
      <protection/>
    </xf>
    <xf numFmtId="0" fontId="2" fillId="34" borderId="74"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12" fillId="67" borderId="75" xfId="0" applyFont="1" applyFill="1" applyBorder="1" applyAlignment="1" applyProtection="1">
      <alignment vertical="center"/>
      <protection/>
    </xf>
    <xf numFmtId="0" fontId="12" fillId="67" borderId="76" xfId="0" applyFont="1" applyFill="1" applyBorder="1" applyAlignment="1" applyProtection="1">
      <alignment vertical="center"/>
      <protection/>
    </xf>
    <xf numFmtId="0" fontId="12" fillId="67" borderId="77" xfId="0" applyFont="1" applyFill="1" applyBorder="1" applyAlignment="1" applyProtection="1">
      <alignment vertical="center"/>
      <protection/>
    </xf>
    <xf numFmtId="0" fontId="2" fillId="54" borderId="25" xfId="0" applyFont="1" applyFill="1" applyBorder="1" applyAlignment="1" applyProtection="1">
      <alignment horizontal="center" vertical="center"/>
      <protection/>
    </xf>
    <xf numFmtId="0" fontId="2" fillId="54" borderId="45" xfId="0" applyFont="1" applyFill="1" applyBorder="1" applyAlignment="1" applyProtection="1">
      <alignment horizontal="center" vertical="center"/>
      <protection/>
    </xf>
    <xf numFmtId="0" fontId="2" fillId="54" borderId="41" xfId="0" applyFont="1" applyFill="1" applyBorder="1" applyAlignment="1" applyProtection="1">
      <alignment horizontal="center" vertical="center"/>
      <protection/>
    </xf>
    <xf numFmtId="0" fontId="2" fillId="54" borderId="78" xfId="0" applyFont="1" applyFill="1" applyBorder="1" applyAlignment="1" applyProtection="1">
      <alignment horizontal="center" vertical="center"/>
      <protection/>
    </xf>
    <xf numFmtId="0" fontId="2" fillId="54" borderId="79" xfId="0" applyFont="1" applyFill="1" applyBorder="1" applyAlignment="1" applyProtection="1">
      <alignment horizontal="center" vertical="center"/>
      <protection/>
    </xf>
    <xf numFmtId="0" fontId="4" fillId="68" borderId="80" xfId="0" applyFont="1" applyFill="1" applyBorder="1" applyAlignment="1" applyProtection="1">
      <alignment horizontal="left" vertical="center"/>
      <protection/>
    </xf>
    <xf numFmtId="0" fontId="4" fillId="68" borderId="81" xfId="0" applyFont="1" applyFill="1" applyBorder="1" applyAlignment="1" applyProtection="1">
      <alignment horizontal="left" vertical="center"/>
      <protection/>
    </xf>
    <xf numFmtId="0" fontId="1" fillId="19" borderId="80" xfId="0" applyFont="1" applyFill="1" applyBorder="1" applyAlignment="1" applyProtection="1">
      <alignment horizontal="center" vertical="center"/>
      <protection/>
    </xf>
    <xf numFmtId="0" fontId="1" fillId="19" borderId="45" xfId="0" applyFont="1" applyFill="1" applyBorder="1" applyAlignment="1" applyProtection="1">
      <alignment horizontal="center" vertical="center"/>
      <protection/>
    </xf>
    <xf numFmtId="0" fontId="1" fillId="19" borderId="81" xfId="0" applyFont="1" applyFill="1" applyBorder="1" applyAlignment="1" applyProtection="1">
      <alignment horizontal="center" vertical="center"/>
      <protection/>
    </xf>
    <xf numFmtId="173" fontId="1" fillId="69" borderId="82" xfId="51" applyNumberFormat="1" applyFont="1" applyFill="1" applyBorder="1" applyAlignment="1" applyProtection="1">
      <alignment horizontal="center" vertical="center"/>
      <protection/>
    </xf>
    <xf numFmtId="173" fontId="1" fillId="69" borderId="83" xfId="51" applyNumberFormat="1" applyFont="1" applyFill="1" applyBorder="1" applyAlignment="1" applyProtection="1">
      <alignment horizontal="center" vertical="center"/>
      <protection/>
    </xf>
    <xf numFmtId="173" fontId="1" fillId="69" borderId="84" xfId="51" applyNumberFormat="1" applyFont="1" applyFill="1" applyBorder="1" applyAlignment="1" applyProtection="1">
      <alignment horizontal="center" vertical="center"/>
      <protection/>
    </xf>
    <xf numFmtId="173" fontId="2" fillId="69" borderId="82" xfId="51" applyNumberFormat="1" applyFont="1" applyFill="1" applyBorder="1" applyAlignment="1" applyProtection="1">
      <alignment horizontal="center" vertical="center"/>
      <protection/>
    </xf>
    <xf numFmtId="173" fontId="2" fillId="69" borderId="83" xfId="51" applyNumberFormat="1" applyFont="1" applyFill="1" applyBorder="1" applyAlignment="1" applyProtection="1">
      <alignment horizontal="center" vertical="center"/>
      <protection/>
    </xf>
    <xf numFmtId="173" fontId="2" fillId="69" borderId="84" xfId="51" applyNumberFormat="1" applyFont="1" applyFill="1" applyBorder="1" applyAlignment="1" applyProtection="1">
      <alignment horizontal="center" vertical="center"/>
      <protection/>
    </xf>
    <xf numFmtId="173" fontId="2" fillId="70" borderId="85" xfId="51" applyNumberFormat="1" applyFont="1" applyFill="1" applyBorder="1" applyAlignment="1" applyProtection="1">
      <alignment horizontal="center" vertical="center"/>
      <protection/>
    </xf>
    <xf numFmtId="173" fontId="2" fillId="70" borderId="13" xfId="51" applyNumberFormat="1" applyFont="1" applyFill="1" applyBorder="1" applyAlignment="1" applyProtection="1">
      <alignment horizontal="center" vertical="center"/>
      <protection/>
    </xf>
    <xf numFmtId="173" fontId="2" fillId="70" borderId="86" xfId="51" applyNumberFormat="1" applyFont="1" applyFill="1" applyBorder="1" applyAlignment="1" applyProtection="1">
      <alignment horizontal="center" vertical="center"/>
      <protection/>
    </xf>
    <xf numFmtId="0" fontId="4" fillId="71" borderId="80" xfId="0" applyFont="1" applyFill="1" applyBorder="1" applyAlignment="1" applyProtection="1">
      <alignment horizontal="left" vertical="center"/>
      <protection/>
    </xf>
    <xf numFmtId="0" fontId="4" fillId="71" borderId="81" xfId="0" applyFont="1" applyFill="1" applyBorder="1" applyAlignment="1" applyProtection="1">
      <alignment horizontal="left" vertical="center"/>
      <protection/>
    </xf>
    <xf numFmtId="0" fontId="2" fillId="65" borderId="87" xfId="0" applyFont="1" applyFill="1" applyBorder="1" applyAlignment="1" applyProtection="1">
      <alignment horizontal="center" vertical="center" wrapText="1"/>
      <protection/>
    </xf>
    <xf numFmtId="0" fontId="2" fillId="65" borderId="88" xfId="0" applyFont="1" applyFill="1" applyBorder="1" applyAlignment="1" applyProtection="1">
      <alignment horizontal="center" vertical="center" wrapText="1"/>
      <protection/>
    </xf>
    <xf numFmtId="0" fontId="2" fillId="65" borderId="89" xfId="0" applyFont="1" applyFill="1" applyBorder="1" applyAlignment="1" applyProtection="1">
      <alignment horizontal="center" vertical="center" wrapText="1"/>
      <protection/>
    </xf>
    <xf numFmtId="0" fontId="4" fillId="49" borderId="49" xfId="0" applyFont="1" applyFill="1" applyBorder="1" applyAlignment="1" applyProtection="1">
      <alignment vertical="center"/>
      <protection/>
    </xf>
    <xf numFmtId="0" fontId="4" fillId="49" borderId="50" xfId="0" applyFont="1" applyFill="1" applyBorder="1" applyAlignment="1" applyProtection="1">
      <alignment vertical="center"/>
      <protection/>
    </xf>
    <xf numFmtId="173" fontId="2" fillId="72" borderId="82" xfId="51" applyNumberFormat="1" applyFont="1" applyFill="1" applyBorder="1" applyAlignment="1" applyProtection="1">
      <alignment horizontal="center" vertical="center"/>
      <protection/>
    </xf>
    <xf numFmtId="173" fontId="2" fillId="72" borderId="83" xfId="51" applyNumberFormat="1" applyFont="1" applyFill="1" applyBorder="1" applyAlignment="1" applyProtection="1">
      <alignment horizontal="center" vertical="center"/>
      <protection/>
    </xf>
    <xf numFmtId="173" fontId="2" fillId="72" borderId="84" xfId="51" applyNumberFormat="1" applyFont="1" applyFill="1" applyBorder="1" applyAlignment="1" applyProtection="1">
      <alignment horizontal="center" vertical="center"/>
      <protection/>
    </xf>
    <xf numFmtId="0" fontId="2" fillId="64" borderId="87" xfId="0" applyFont="1" applyFill="1" applyBorder="1" applyAlignment="1" applyProtection="1">
      <alignment horizontal="center" vertical="center" wrapText="1"/>
      <protection/>
    </xf>
    <xf numFmtId="0" fontId="2" fillId="64" borderId="88" xfId="0" applyFont="1" applyFill="1" applyBorder="1" applyAlignment="1" applyProtection="1">
      <alignment horizontal="center" vertical="center" wrapText="1"/>
      <protection/>
    </xf>
    <xf numFmtId="0" fontId="2" fillId="64" borderId="89" xfId="0" applyFont="1" applyFill="1" applyBorder="1" applyAlignment="1" applyProtection="1">
      <alignment horizontal="center" vertical="center" wrapText="1"/>
      <protection/>
    </xf>
    <xf numFmtId="0" fontId="2" fillId="66" borderId="87" xfId="0" applyFont="1" applyFill="1" applyBorder="1" applyAlignment="1" applyProtection="1">
      <alignment horizontal="center" vertical="center" wrapText="1"/>
      <protection/>
    </xf>
    <xf numFmtId="0" fontId="2" fillId="66" borderId="88" xfId="0" applyFont="1" applyFill="1" applyBorder="1" applyAlignment="1" applyProtection="1">
      <alignment horizontal="center" vertical="center" wrapText="1"/>
      <protection/>
    </xf>
    <xf numFmtId="0" fontId="2" fillId="66" borderId="89" xfId="0" applyFont="1" applyFill="1" applyBorder="1" applyAlignment="1" applyProtection="1">
      <alignment horizontal="center" vertical="center" wrapText="1"/>
      <protection/>
    </xf>
    <xf numFmtId="0" fontId="4" fillId="73" borderId="0" xfId="0" applyFont="1" applyFill="1" applyBorder="1" applyAlignment="1" applyProtection="1">
      <alignment vertical="center"/>
      <protection/>
    </xf>
    <xf numFmtId="0" fontId="8" fillId="37" borderId="25" xfId="0" applyFont="1" applyFill="1" applyBorder="1" applyAlignment="1" applyProtection="1">
      <alignment horizontal="center" vertical="center"/>
      <protection/>
    </xf>
    <xf numFmtId="0" fontId="8" fillId="37" borderId="41" xfId="0" applyFont="1" applyFill="1" applyBorder="1" applyAlignment="1" applyProtection="1">
      <alignment horizontal="center" vertical="center"/>
      <protection/>
    </xf>
    <xf numFmtId="0" fontId="2" fillId="40" borderId="90" xfId="0" applyFont="1" applyFill="1" applyBorder="1" applyAlignment="1" applyProtection="1">
      <alignment horizontal="center" vertical="center"/>
      <protection/>
    </xf>
    <xf numFmtId="0" fontId="2" fillId="40" borderId="19"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2" fillId="13" borderId="45" xfId="0" applyFont="1" applyFill="1" applyBorder="1" applyAlignment="1" applyProtection="1">
      <alignment horizontal="left" vertical="center"/>
      <protection/>
    </xf>
    <xf numFmtId="0" fontId="2" fillId="13" borderId="41" xfId="0" applyFont="1" applyFill="1" applyBorder="1" applyAlignment="1" applyProtection="1">
      <alignment horizontal="left" vertical="center"/>
      <protection/>
    </xf>
    <xf numFmtId="0" fontId="2" fillId="73" borderId="11" xfId="0" applyFont="1" applyFill="1" applyBorder="1" applyAlignment="1" applyProtection="1">
      <alignment horizontal="center" vertical="center" wrapText="1"/>
      <protection/>
    </xf>
    <xf numFmtId="0" fontId="2" fillId="74" borderId="11"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protection/>
    </xf>
    <xf numFmtId="0" fontId="81" fillId="57" borderId="58" xfId="0" applyFont="1" applyFill="1" applyBorder="1" applyAlignment="1" applyProtection="1">
      <alignment horizontal="center" vertical="center" wrapText="1"/>
      <protection/>
    </xf>
    <xf numFmtId="0" fontId="81" fillId="57" borderId="60" xfId="0" applyFont="1" applyFill="1" applyBorder="1" applyAlignment="1" applyProtection="1">
      <alignment horizontal="center" vertical="center" wrapText="1"/>
      <protection/>
    </xf>
    <xf numFmtId="0" fontId="20" fillId="56" borderId="58" xfId="0" applyFont="1" applyFill="1" applyBorder="1" applyAlignment="1" applyProtection="1">
      <alignment horizontal="left" vertical="center" wrapText="1"/>
      <protection/>
    </xf>
    <xf numFmtId="0" fontId="20" fillId="56" borderId="91" xfId="0" applyFont="1" applyFill="1" applyBorder="1" applyAlignment="1" applyProtection="1">
      <alignment horizontal="left" vertical="center" wrapText="1"/>
      <protection/>
    </xf>
    <xf numFmtId="178" fontId="2" fillId="35" borderId="11" xfId="49" applyNumberFormat="1" applyFont="1" applyFill="1" applyBorder="1" applyAlignment="1" applyProtection="1">
      <alignment horizontal="center" vertical="center"/>
      <protection/>
    </xf>
    <xf numFmtId="174" fontId="77" fillId="51" borderId="29" xfId="51" applyNumberFormat="1" applyFont="1" applyFill="1" applyBorder="1" applyAlignment="1" applyProtection="1">
      <alignment vertical="center"/>
      <protection/>
    </xf>
    <xf numFmtId="174" fontId="1" fillId="0" borderId="29" xfId="51" applyNumberFormat="1" applyFont="1" applyFill="1" applyBorder="1" applyAlignment="1" applyProtection="1">
      <alignment vertical="center"/>
      <protection/>
    </xf>
    <xf numFmtId="182" fontId="1" fillId="51" borderId="92" xfId="51" applyNumberFormat="1" applyFont="1" applyFill="1" applyBorder="1" applyAlignment="1" applyProtection="1">
      <alignment vertical="center"/>
      <protection/>
    </xf>
    <xf numFmtId="182" fontId="1" fillId="0" borderId="92" xfId="51" applyNumberFormat="1" applyFont="1" applyBorder="1" applyAlignment="1" applyProtection="1">
      <alignment vertical="center"/>
      <protection/>
    </xf>
    <xf numFmtId="1" fontId="77" fillId="0" borderId="24" xfId="51" applyNumberFormat="1" applyFont="1" applyFill="1" applyBorder="1" applyAlignment="1" applyProtection="1">
      <alignment vertical="center"/>
      <protection/>
    </xf>
    <xf numFmtId="1" fontId="1" fillId="0" borderId="24" xfId="51" applyNumberFormat="1" applyFont="1" applyFill="1" applyBorder="1" applyAlignment="1" applyProtection="1">
      <alignment vertical="center"/>
      <protection/>
    </xf>
    <xf numFmtId="1" fontId="78" fillId="0" borderId="24" xfId="51" applyNumberFormat="1" applyFont="1" applyFill="1" applyBorder="1" applyAlignment="1" applyProtection="1">
      <alignment vertical="center"/>
      <protection/>
    </xf>
    <xf numFmtId="174" fontId="1" fillId="0" borderId="27" xfId="51" applyNumberFormat="1" applyFont="1" applyFill="1" applyBorder="1" applyAlignment="1" applyProtection="1">
      <alignment vertical="center"/>
      <protection/>
    </xf>
    <xf numFmtId="174" fontId="1" fillId="51" borderId="27" xfId="51" applyNumberFormat="1" applyFont="1" applyFill="1" applyBorder="1" applyAlignment="1" applyProtection="1">
      <alignment vertical="center"/>
      <protection/>
    </xf>
    <xf numFmtId="0" fontId="88" fillId="0" borderId="0" xfId="0" applyFont="1" applyAlignment="1" applyProtection="1">
      <alignment horizontal="justify" vertical="center" wrapText="1"/>
      <protection/>
    </xf>
    <xf numFmtId="0" fontId="89" fillId="75" borderId="0" xfId="0" applyFont="1" applyFill="1" applyAlignment="1" applyProtection="1">
      <alignment horizontal="center" vertical="center" wrapText="1"/>
      <protection/>
    </xf>
    <xf numFmtId="0" fontId="90" fillId="56" borderId="0" xfId="0" applyFont="1" applyFill="1" applyAlignment="1" applyProtection="1">
      <alignment horizontal="center" vertical="center" wrapText="1"/>
      <protection/>
    </xf>
    <xf numFmtId="6" fontId="90" fillId="56" borderId="0" xfId="0" applyNumberFormat="1" applyFont="1" applyFill="1" applyAlignment="1" applyProtection="1">
      <alignment horizontal="center" vertical="center" wrapText="1"/>
      <protection/>
    </xf>
    <xf numFmtId="0" fontId="90" fillId="0" borderId="0" xfId="0" applyFont="1" applyAlignment="1" applyProtection="1">
      <alignment horizontal="justify" vertical="center" wrapText="1"/>
      <protection/>
    </xf>
    <xf numFmtId="179" fontId="6" fillId="51" borderId="80" xfId="0" applyNumberFormat="1" applyFont="1" applyFill="1" applyBorder="1" applyAlignment="1" applyProtection="1">
      <alignment horizontal="left"/>
      <protection/>
    </xf>
    <xf numFmtId="179" fontId="6" fillId="51" borderId="81" xfId="0" applyNumberFormat="1" applyFont="1" applyFill="1" applyBorder="1" applyAlignment="1" applyProtection="1">
      <alignment horizontal="left"/>
      <protection/>
    </xf>
    <xf numFmtId="179" fontId="1" fillId="51" borderId="80" xfId="0" applyNumberFormat="1" applyFont="1" applyFill="1" applyBorder="1" applyAlignment="1" applyProtection="1">
      <alignment horizontal="left"/>
      <protection/>
    </xf>
    <xf numFmtId="179" fontId="1" fillId="51" borderId="81" xfId="0" applyNumberFormat="1" applyFont="1" applyFill="1" applyBorder="1" applyAlignment="1" applyProtection="1">
      <alignment horizontal="left"/>
      <protection/>
    </xf>
    <xf numFmtId="3" fontId="0" fillId="0" borderId="24" xfId="0" applyNumberFormat="1" applyBorder="1" applyAlignment="1" applyProtection="1">
      <alignment/>
      <protection/>
    </xf>
    <xf numFmtId="179" fontId="6" fillId="51" borderId="80" xfId="0" applyNumberFormat="1" applyFont="1" applyFill="1" applyBorder="1" applyAlignment="1" applyProtection="1">
      <alignment/>
      <protection/>
    </xf>
    <xf numFmtId="179" fontId="6" fillId="51" borderId="81" xfId="0" applyNumberFormat="1" applyFont="1" applyFill="1" applyBorder="1" applyAlignment="1" applyProtection="1">
      <alignment/>
      <protection/>
    </xf>
    <xf numFmtId="179" fontId="1" fillId="51" borderId="80" xfId="0" applyNumberFormat="1" applyFont="1" applyFill="1" applyBorder="1" applyAlignment="1" applyProtection="1">
      <alignment/>
      <protection/>
    </xf>
    <xf numFmtId="179" fontId="2" fillId="68" borderId="80" xfId="0" applyNumberFormat="1" applyFont="1" applyFill="1" applyBorder="1" applyAlignment="1" applyProtection="1">
      <alignment horizontal="left"/>
      <protection/>
    </xf>
    <xf numFmtId="179" fontId="2" fillId="68" borderId="81" xfId="0" applyNumberFormat="1" applyFont="1" applyFill="1" applyBorder="1" applyAlignment="1" applyProtection="1">
      <alignment horizontal="left"/>
      <protection/>
    </xf>
    <xf numFmtId="179" fontId="1" fillId="51" borderId="80" xfId="0" applyNumberFormat="1" applyFont="1" applyFill="1" applyBorder="1" applyAlignment="1" applyProtection="1">
      <alignment horizontal="left"/>
      <protection/>
    </xf>
    <xf numFmtId="179" fontId="1" fillId="51" borderId="81" xfId="0" applyNumberFormat="1" applyFont="1" applyFill="1" applyBorder="1" applyAlignment="1" applyProtection="1">
      <alignment horizontal="left"/>
      <protection/>
    </xf>
    <xf numFmtId="178" fontId="78" fillId="0" borderId="11" xfId="49" applyNumberFormat="1" applyFont="1" applyFill="1" applyBorder="1" applyAlignment="1" applyProtection="1">
      <alignment vertical="center"/>
      <protection/>
    </xf>
    <xf numFmtId="179" fontId="78" fillId="51" borderId="80" xfId="0" applyNumberFormat="1" applyFont="1" applyFill="1" applyBorder="1" applyAlignment="1" applyProtection="1">
      <alignment horizontal="left"/>
      <protection/>
    </xf>
    <xf numFmtId="179" fontId="78" fillId="51" borderId="81" xfId="0" applyNumberFormat="1" applyFont="1" applyFill="1" applyBorder="1" applyAlignment="1" applyProtection="1">
      <alignment horizontal="left"/>
      <protection/>
    </xf>
    <xf numFmtId="179" fontId="6" fillId="51" borderId="81" xfId="0" applyNumberFormat="1" applyFont="1" applyFill="1" applyBorder="1" applyAlignment="1" applyProtection="1">
      <alignment horizontal="left"/>
      <protection/>
    </xf>
    <xf numFmtId="179" fontId="6" fillId="51" borderId="80" xfId="0" applyNumberFormat="1" applyFont="1" applyFill="1" applyBorder="1" applyAlignment="1" applyProtection="1">
      <alignment horizontal="left"/>
      <protection/>
    </xf>
    <xf numFmtId="179" fontId="2" fillId="71" borderId="80" xfId="0" applyNumberFormat="1" applyFont="1" applyFill="1" applyBorder="1" applyAlignment="1" applyProtection="1">
      <alignment horizontal="left"/>
      <protection/>
    </xf>
    <xf numFmtId="179" fontId="2" fillId="71" borderId="81" xfId="0" applyNumberFormat="1" applyFont="1" applyFill="1" applyBorder="1" applyAlignment="1" applyProtection="1">
      <alignment horizontal="left"/>
      <protection/>
    </xf>
    <xf numFmtId="0" fontId="1" fillId="51" borderId="80" xfId="0" applyFont="1" applyFill="1" applyBorder="1" applyAlignment="1" applyProtection="1">
      <alignment horizontal="left"/>
      <protection/>
    </xf>
    <xf numFmtId="0" fontId="1" fillId="51" borderId="81" xfId="0" applyFont="1" applyFill="1" applyBorder="1" applyAlignment="1" applyProtection="1">
      <alignment horizontal="left"/>
      <protection/>
    </xf>
    <xf numFmtId="0" fontId="4" fillId="76" borderId="93" xfId="0" applyFont="1" applyFill="1" applyBorder="1" applyAlignment="1" applyProtection="1">
      <alignment vertical="center"/>
      <protection/>
    </xf>
    <xf numFmtId="0" fontId="4" fillId="76" borderId="94" xfId="0" applyFont="1" applyFill="1" applyBorder="1" applyAlignment="1" applyProtection="1">
      <alignment vertical="center"/>
      <protection/>
    </xf>
    <xf numFmtId="178" fontId="1" fillId="0" borderId="11" xfId="49" applyNumberFormat="1" applyFont="1" applyFill="1" applyBorder="1" applyAlignment="1" applyProtection="1">
      <alignment vertical="center"/>
      <protection/>
    </xf>
    <xf numFmtId="181" fontId="6" fillId="0" borderId="24" xfId="51" applyNumberFormat="1" applyFont="1" applyFill="1" applyBorder="1" applyAlignment="1" applyProtection="1">
      <alignment vertical="center"/>
      <protection/>
    </xf>
    <xf numFmtId="179" fontId="6" fillId="45" borderId="24" xfId="0" applyNumberFormat="1" applyFont="1" applyFill="1" applyBorder="1" applyAlignment="1" applyProtection="1">
      <alignment/>
      <protection/>
    </xf>
    <xf numFmtId="179" fontId="2" fillId="13" borderId="25" xfId="0" applyNumberFormat="1" applyFont="1" applyFill="1" applyBorder="1" applyAlignment="1" applyProtection="1">
      <alignment horizontal="left"/>
      <protection/>
    </xf>
    <xf numFmtId="179" fontId="2" fillId="13" borderId="41" xfId="0" applyNumberFormat="1" applyFont="1" applyFill="1" applyBorder="1" applyAlignment="1" applyProtection="1">
      <alignment horizontal="left"/>
      <protection/>
    </xf>
    <xf numFmtId="181" fontId="1" fillId="0" borderId="24" xfId="51" applyNumberFormat="1" applyFont="1" applyFill="1" applyBorder="1" applyAlignment="1" applyProtection="1">
      <alignment vertical="center"/>
      <protection/>
    </xf>
    <xf numFmtId="179" fontId="1" fillId="45" borderId="25" xfId="0" applyNumberFormat="1" applyFont="1" applyFill="1" applyBorder="1" applyAlignment="1" applyProtection="1">
      <alignment horizontal="left"/>
      <protection/>
    </xf>
    <xf numFmtId="173" fontId="6" fillId="46" borderId="0" xfId="51" applyNumberFormat="1" applyFont="1" applyFill="1" applyBorder="1" applyAlignment="1" applyProtection="1">
      <alignmen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85725</xdr:rowOff>
    </xdr:from>
    <xdr:to>
      <xdr:col>4</xdr:col>
      <xdr:colOff>762000</xdr:colOff>
      <xdr:row>12</xdr:row>
      <xdr:rowOff>85725</xdr:rowOff>
    </xdr:to>
    <xdr:sp fLocksText="0">
      <xdr:nvSpPr>
        <xdr:cNvPr id="1" name="Text 1"/>
        <xdr:cNvSpPr txBox="1">
          <a:spLocks noChangeArrowheads="1"/>
        </xdr:cNvSpPr>
      </xdr:nvSpPr>
      <xdr:spPr>
        <a:xfrm>
          <a:off x="38100" y="1133475"/>
          <a:ext cx="8239125" cy="91440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mondaca.DIREBIEN\Desktop\404%20EDUCACIONAL\JI%20Y%20SC\TARIFAS%20-%20EDUCACIONAL\TARIFA%202018\tarifas%202018%20ultima\Iquique\tarifas%202018%20iquique%20171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ulina\AppData\Local\Temp\Rar$DI39.968\Ap%20%206%20Remuneraciones%20Tarifas%20Area%20Educaci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1 Est. Precios "/>
      <sheetName val="Ap. 2 Ingresos C. Benef."/>
      <sheetName val="Ap. 3 Costos Directos"/>
      <sheetName val="Ap. 4 Costos Indirectos"/>
      <sheetName val="Ap. 5 Tarifado "/>
      <sheetName val="SUELDOS"/>
      <sheetName val="REMUNERACIONES"/>
    </sheetNames>
    <sheetDataSet>
      <sheetData sheetId="5">
        <row r="174">
          <cell r="AD174">
            <v>57322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DIST. SUELDO PORM AREA"/>
      <sheetName val="REMUNERACIONES BASE "/>
      <sheetName val="REMUN. BASE  AREA EDUC."/>
    </sheetNames>
    <sheetDataSet>
      <sheetData sheetId="2">
        <row r="8">
          <cell r="I8">
            <v>493157.79399999994</v>
          </cell>
        </row>
        <row r="9">
          <cell r="I9">
            <v>117661.131</v>
          </cell>
        </row>
        <row r="10">
          <cell r="M10">
            <v>236435.99999999997</v>
          </cell>
          <cell r="N10">
            <v>642940</v>
          </cell>
        </row>
        <row r="15">
          <cell r="I15">
            <v>581549.6</v>
          </cell>
        </row>
        <row r="16">
          <cell r="I16">
            <v>612380.647</v>
          </cell>
        </row>
        <row r="17">
          <cell r="I17">
            <v>557451.794</v>
          </cell>
        </row>
        <row r="18">
          <cell r="I18">
            <v>513897.79399999994</v>
          </cell>
        </row>
        <row r="19">
          <cell r="I19">
            <v>522193.79399999994</v>
          </cell>
        </row>
        <row r="20">
          <cell r="I20">
            <v>444477.903</v>
          </cell>
        </row>
        <row r="21">
          <cell r="I21">
            <v>411141.464</v>
          </cell>
        </row>
        <row r="22">
          <cell r="I22">
            <v>399768.685</v>
          </cell>
        </row>
        <row r="23">
          <cell r="I23">
            <v>353469.746</v>
          </cell>
        </row>
        <row r="24">
          <cell r="I24">
            <v>402937.757</v>
          </cell>
        </row>
        <row r="25">
          <cell r="I25">
            <v>273471.418</v>
          </cell>
        </row>
        <row r="26">
          <cell r="L26">
            <v>3164092.326</v>
          </cell>
          <cell r="S26">
            <v>1300397.9999999998</v>
          </cell>
          <cell r="T26">
            <v>3536170</v>
          </cell>
        </row>
        <row r="30">
          <cell r="I30">
            <v>520514.89099999995</v>
          </cell>
        </row>
        <row r="31">
          <cell r="I31">
            <v>520514.89099999995</v>
          </cell>
        </row>
        <row r="32">
          <cell r="I32">
            <v>515205.45099999994</v>
          </cell>
        </row>
        <row r="33">
          <cell r="I33">
            <v>515205.45099999994</v>
          </cell>
        </row>
        <row r="34">
          <cell r="I34">
            <v>374026.197</v>
          </cell>
        </row>
        <row r="35">
          <cell r="I35">
            <v>316043.37899999996</v>
          </cell>
        </row>
        <row r="36">
          <cell r="I36">
            <v>316043.37899999996</v>
          </cell>
        </row>
        <row r="37">
          <cell r="I37">
            <v>316043.37899999996</v>
          </cell>
        </row>
        <row r="39">
          <cell r="L39">
            <v>2228558.628</v>
          </cell>
          <cell r="M39">
            <v>945743.9999999999</v>
          </cell>
          <cell r="N39">
            <v>2571760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pageSetUpPr fitToPage="1"/>
  </sheetPr>
  <dimension ref="A1:IV28"/>
  <sheetViews>
    <sheetView showGridLines="0" zoomScale="86" zoomScaleNormal="86" zoomScalePageLayoutView="0" workbookViewId="0" topLeftCell="A1">
      <selection activeCell="C5" sqref="C5"/>
    </sheetView>
  </sheetViews>
  <sheetFormatPr defaultColWidth="11.421875" defaultRowHeight="12.75"/>
  <cols>
    <col min="1" max="1" width="36.57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343" t="s">
        <v>0</v>
      </c>
      <c r="B1" s="343"/>
      <c r="C1" s="343"/>
      <c r="D1" s="343"/>
      <c r="E1" s="343"/>
      <c r="F1" s="3"/>
      <c r="G1" s="3"/>
      <c r="IK1" s="1"/>
      <c r="IL1" s="1"/>
      <c r="IM1" s="1"/>
      <c r="IN1" s="1"/>
      <c r="IO1" s="1"/>
      <c r="IP1" s="1"/>
      <c r="IQ1" s="1"/>
      <c r="IR1" s="1"/>
      <c r="IS1" s="1"/>
      <c r="IT1" s="1"/>
      <c r="IU1" s="1"/>
      <c r="IV1" s="1"/>
    </row>
    <row r="2" spans="1:256" s="4" customFormat="1" ht="15.75" customHeight="1">
      <c r="A2" s="343" t="s">
        <v>52</v>
      </c>
      <c r="B2" s="343"/>
      <c r="C2" s="343"/>
      <c r="D2" s="343"/>
      <c r="E2" s="343"/>
      <c r="F2" s="3"/>
      <c r="G2" s="3"/>
      <c r="IK2" s="1"/>
      <c r="IL2" s="1"/>
      <c r="IM2" s="1"/>
      <c r="IN2" s="1"/>
      <c r="IO2" s="1"/>
      <c r="IP2" s="1"/>
      <c r="IQ2" s="1"/>
      <c r="IR2" s="1"/>
      <c r="IS2" s="1"/>
      <c r="IT2" s="1"/>
      <c r="IU2" s="1"/>
      <c r="IV2" s="1"/>
    </row>
    <row r="3" spans="1:256" s="4" customFormat="1" ht="18" customHeight="1">
      <c r="A3" s="343" t="s">
        <v>53</v>
      </c>
      <c r="B3" s="343"/>
      <c r="C3" s="343"/>
      <c r="D3" s="343"/>
      <c r="E3" s="343"/>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344" t="s">
        <v>3</v>
      </c>
      <c r="B5" s="344"/>
      <c r="C5" s="44" t="str">
        <f>'Ap. 2 Ingresos C. Benef.'!$I$5</f>
        <v>BIENTALC</v>
      </c>
      <c r="D5" s="45"/>
      <c r="E5" s="1"/>
      <c r="F5" s="45"/>
      <c r="G5" s="1"/>
      <c r="IK5" s="1"/>
      <c r="IL5" s="1"/>
      <c r="IM5" s="1"/>
      <c r="IN5" s="1"/>
      <c r="IO5" s="1"/>
      <c r="IP5" s="1"/>
      <c r="IQ5" s="1"/>
      <c r="IR5" s="1"/>
      <c r="IS5" s="1"/>
      <c r="IT5" s="1"/>
      <c r="IU5" s="1"/>
      <c r="IV5" s="1"/>
    </row>
    <row r="6" spans="1:256" s="4" customFormat="1" ht="12" customHeight="1">
      <c r="A6" s="5"/>
      <c r="B6" s="7"/>
      <c r="C6" s="45"/>
      <c r="D6" s="45"/>
      <c r="E6" s="1"/>
      <c r="F6" s="45"/>
      <c r="G6" s="1"/>
      <c r="IK6" s="1"/>
      <c r="IL6" s="1"/>
      <c r="IM6" s="1"/>
      <c r="IN6" s="1"/>
      <c r="IO6" s="1"/>
      <c r="IP6" s="1"/>
      <c r="IQ6" s="1"/>
      <c r="IR6" s="1"/>
      <c r="IS6" s="1"/>
      <c r="IT6" s="1"/>
      <c r="IU6" s="1"/>
      <c r="IV6" s="1"/>
    </row>
    <row r="7" spans="1:256" s="4" customFormat="1" ht="12" customHeight="1">
      <c r="A7" s="5"/>
      <c r="B7" s="7"/>
      <c r="C7" s="45"/>
      <c r="D7" s="45"/>
      <c r="E7" s="1"/>
      <c r="F7" s="45"/>
      <c r="G7" s="1"/>
      <c r="IK7" s="1"/>
      <c r="IL7" s="1"/>
      <c r="IM7" s="1"/>
      <c r="IN7" s="1"/>
      <c r="IO7" s="1"/>
      <c r="IP7" s="1"/>
      <c r="IQ7" s="1"/>
      <c r="IR7" s="1"/>
      <c r="IS7" s="1"/>
      <c r="IT7" s="1"/>
      <c r="IU7" s="1"/>
      <c r="IV7" s="1"/>
    </row>
    <row r="8" spans="1:256" s="4" customFormat="1" ht="12" customHeight="1">
      <c r="A8" s="5"/>
      <c r="B8" s="7"/>
      <c r="C8" s="45"/>
      <c r="D8" s="45"/>
      <c r="E8" s="1"/>
      <c r="F8" s="45"/>
      <c r="G8" s="1"/>
      <c r="IK8" s="1"/>
      <c r="IL8" s="1"/>
      <c r="IM8" s="1"/>
      <c r="IN8" s="1"/>
      <c r="IO8" s="1"/>
      <c r="IP8" s="1"/>
      <c r="IQ8" s="1"/>
      <c r="IR8" s="1"/>
      <c r="IS8" s="1"/>
      <c r="IT8" s="1"/>
      <c r="IU8" s="1"/>
      <c r="IV8" s="1"/>
    </row>
    <row r="9" spans="1:256" s="4" customFormat="1" ht="12" customHeight="1">
      <c r="A9" s="5"/>
      <c r="B9" s="7"/>
      <c r="C9" s="45"/>
      <c r="D9" s="45"/>
      <c r="E9" s="1"/>
      <c r="F9" s="45"/>
      <c r="G9" s="1"/>
      <c r="IK9" s="1"/>
      <c r="IL9" s="1"/>
      <c r="IM9" s="1"/>
      <c r="IN9" s="1"/>
      <c r="IO9" s="1"/>
      <c r="IP9" s="1"/>
      <c r="IQ9" s="1"/>
      <c r="IR9" s="1"/>
      <c r="IS9" s="1"/>
      <c r="IT9" s="1"/>
      <c r="IU9" s="1"/>
      <c r="IV9" s="1"/>
    </row>
    <row r="10" spans="1:256" s="4" customFormat="1" ht="12" customHeight="1">
      <c r="A10" s="5"/>
      <c r="B10" s="7"/>
      <c r="C10" s="45"/>
      <c r="D10" s="45"/>
      <c r="E10" s="1"/>
      <c r="F10" s="45"/>
      <c r="G10" s="1"/>
      <c r="IK10" s="1"/>
      <c r="IL10" s="1"/>
      <c r="IM10" s="1"/>
      <c r="IN10" s="1"/>
      <c r="IO10" s="1"/>
      <c r="IP10" s="1"/>
      <c r="IQ10" s="1"/>
      <c r="IR10" s="1"/>
      <c r="IS10" s="1"/>
      <c r="IT10" s="1"/>
      <c r="IU10" s="1"/>
      <c r="IV10" s="1"/>
    </row>
    <row r="11" spans="1:256" s="4" customFormat="1" ht="12" customHeight="1">
      <c r="A11" s="5"/>
      <c r="B11" s="7"/>
      <c r="C11" s="45"/>
      <c r="D11" s="45"/>
      <c r="E11" s="1"/>
      <c r="F11" s="45"/>
      <c r="G11" s="1"/>
      <c r="IK11" s="1"/>
      <c r="IL11" s="1"/>
      <c r="IM11" s="1"/>
      <c r="IN11" s="1"/>
      <c r="IO11" s="1"/>
      <c r="IP11" s="1"/>
      <c r="IQ11" s="1"/>
      <c r="IR11" s="1"/>
      <c r="IS11" s="1"/>
      <c r="IT11" s="1"/>
      <c r="IU11" s="1"/>
      <c r="IV11" s="1"/>
    </row>
    <row r="12" spans="1:256" s="4" customFormat="1" ht="12" customHeight="1">
      <c r="A12" s="5"/>
      <c r="B12" s="7"/>
      <c r="C12" s="45"/>
      <c r="D12" s="45"/>
      <c r="E12" s="1"/>
      <c r="F12" s="45"/>
      <c r="G12" s="1"/>
      <c r="IK12" s="1"/>
      <c r="IL12" s="1"/>
      <c r="IM12" s="1"/>
      <c r="IN12" s="1"/>
      <c r="IO12" s="1"/>
      <c r="IP12" s="1"/>
      <c r="IQ12" s="1"/>
      <c r="IR12" s="1"/>
      <c r="IS12" s="1"/>
      <c r="IT12" s="1"/>
      <c r="IU12" s="1"/>
      <c r="IV12" s="1"/>
    </row>
    <row r="13" spans="1:256" s="4" customFormat="1" ht="12" customHeight="1">
      <c r="A13" s="46"/>
      <c r="B13" s="46"/>
      <c r="C13" s="46"/>
      <c r="D13" s="46"/>
      <c r="E13" s="46"/>
      <c r="F13" s="33"/>
      <c r="G13" s="33"/>
      <c r="H13" s="33"/>
      <c r="I13" s="33"/>
      <c r="J13" s="33"/>
      <c r="IK13" s="1"/>
      <c r="IL13" s="1"/>
      <c r="IM13" s="1"/>
      <c r="IN13" s="1"/>
      <c r="IO13" s="1"/>
      <c r="IP13" s="1"/>
      <c r="IQ13" s="1"/>
      <c r="IR13" s="1"/>
      <c r="IS13" s="1"/>
      <c r="IT13" s="1"/>
      <c r="IU13" s="1"/>
      <c r="IV13" s="1"/>
    </row>
    <row r="14" spans="1:256" s="20" customFormat="1" ht="12" customHeight="1">
      <c r="A14" s="47"/>
      <c r="B14" s="47"/>
      <c r="C14" s="48" t="s">
        <v>54</v>
      </c>
      <c r="D14" s="49"/>
      <c r="E14" s="425">
        <v>12</v>
      </c>
      <c r="F14" s="18"/>
      <c r="G14" s="19"/>
      <c r="IK14" s="31"/>
      <c r="IL14" s="31"/>
      <c r="IM14" s="31"/>
      <c r="IN14" s="31"/>
      <c r="IO14" s="31"/>
      <c r="IP14" s="31"/>
      <c r="IQ14" s="31"/>
      <c r="IR14" s="31"/>
      <c r="IS14" s="31"/>
      <c r="IT14" s="31"/>
      <c r="IU14" s="31"/>
      <c r="IV14" s="31"/>
    </row>
    <row r="15" spans="1:256" s="20" customFormat="1" ht="13.5" customHeight="1">
      <c r="A15" s="47"/>
      <c r="B15" s="47"/>
      <c r="C15" s="48" t="s">
        <v>55</v>
      </c>
      <c r="D15" s="49"/>
      <c r="E15" s="425">
        <v>10</v>
      </c>
      <c r="F15" s="18"/>
      <c r="G15" s="19"/>
      <c r="IK15" s="31"/>
      <c r="IL15" s="31"/>
      <c r="IM15" s="31"/>
      <c r="IN15" s="31"/>
      <c r="IO15" s="31"/>
      <c r="IP15" s="31"/>
      <c r="IQ15" s="31"/>
      <c r="IR15" s="31"/>
      <c r="IS15" s="31"/>
      <c r="IT15" s="31"/>
      <c r="IU15" s="31"/>
      <c r="IV15" s="31"/>
    </row>
    <row r="16" spans="1:256" s="20" customFormat="1" ht="13.5" customHeight="1">
      <c r="A16" s="47"/>
      <c r="B16" s="47"/>
      <c r="C16" s="50"/>
      <c r="D16" s="50"/>
      <c r="E16" s="51"/>
      <c r="F16" s="18"/>
      <c r="G16" s="19"/>
      <c r="IK16" s="31"/>
      <c r="IL16" s="31"/>
      <c r="IM16" s="31"/>
      <c r="IN16" s="31"/>
      <c r="IO16" s="31"/>
      <c r="IP16" s="31"/>
      <c r="IQ16" s="31"/>
      <c r="IR16" s="31"/>
      <c r="IS16" s="31"/>
      <c r="IT16" s="31"/>
      <c r="IU16" s="31"/>
      <c r="IV16" s="31"/>
    </row>
    <row r="17" spans="1:6" ht="13.5">
      <c r="A17" s="47"/>
      <c r="B17" s="47"/>
      <c r="C17" s="47"/>
      <c r="D17" s="47">
        <v>2018</v>
      </c>
      <c r="E17" s="47"/>
      <c r="F17" s="1">
        <v>2017</v>
      </c>
    </row>
    <row r="18" spans="1:5" ht="41.25">
      <c r="A18" s="345" t="str">
        <f>'Ap. 5 Tarifado '!A8</f>
        <v>Centro Beneficio</v>
      </c>
      <c r="B18" s="345" t="str">
        <f>'Ap. 5 Tarifado '!B8</f>
        <v>Prestación [Unidad]</v>
      </c>
      <c r="C18" s="52" t="str">
        <f>'Ap. 5 Tarifado '!C8</f>
        <v>matriculas/ mensualidades especiales</v>
      </c>
      <c r="D18" s="53" t="str">
        <f>'Ap. 5 Tarifado '!G8</f>
        <v>Mensualidad</v>
      </c>
      <c r="E18" s="99" t="s">
        <v>56</v>
      </c>
    </row>
    <row r="19" spans="1:5" ht="27">
      <c r="A19" s="346">
        <f>'Ap. 5 Tarifado '!A9</f>
        <v>0</v>
      </c>
      <c r="B19" s="346">
        <f>'Ap. 5 Tarifado '!B9</f>
        <v>0</v>
      </c>
      <c r="C19" s="54" t="str">
        <f>'Ap. 5 Tarifado '!C9</f>
        <v>Personal Servicio Activo</v>
      </c>
      <c r="D19" s="54" t="str">
        <f>'Ap. 5 Tarifado '!G9</f>
        <v>Personal Servicio Activo</v>
      </c>
      <c r="E19" s="54" t="s">
        <v>57</v>
      </c>
    </row>
    <row r="20" spans="1:5" ht="30.75" customHeight="1">
      <c r="A20" s="100" t="str">
        <f>'Ap. 5 Tarifado '!A10</f>
        <v>SALA CUNA "BURBUJITA DE MAR"</v>
      </c>
      <c r="B20" s="101" t="str">
        <f>'Ap. 5 Tarifado '!B10</f>
        <v>Sala Cuna [Diurna] 36</v>
      </c>
      <c r="C20" s="102">
        <f>'Ap. 5 Tarifado '!C10</f>
        <v>0</v>
      </c>
      <c r="D20" s="102">
        <f>'Ap. 5 Tarifado '!G10</f>
        <v>231600</v>
      </c>
      <c r="E20" s="103">
        <f>C20+D20*$E$14</f>
        <v>2779200</v>
      </c>
    </row>
    <row r="21" spans="1:5" ht="30.75" customHeight="1">
      <c r="A21" s="100" t="str">
        <f>'Ap. 5 Tarifado '!A11</f>
        <v>SALA CUNA "BURBUJITA DE MAR" (NOCTURNA)</v>
      </c>
      <c r="B21" s="101" t="str">
        <f>'Ap. 5 Tarifado '!B11</f>
        <v>Sala Cuna [Nocturna] 25</v>
      </c>
      <c r="C21" s="102">
        <f>'Ap. 5 Tarifado '!C11</f>
        <v>0</v>
      </c>
      <c r="D21" s="102">
        <f>'Ap. 5 Tarifado '!G11</f>
        <v>175200</v>
      </c>
      <c r="E21" s="103">
        <f>C21+D21*$E$14</f>
        <v>2102400</v>
      </c>
    </row>
    <row r="22" spans="1:5" ht="30.75" customHeight="1">
      <c r="A22" s="108" t="s">
        <v>181</v>
      </c>
      <c r="B22" s="121" t="s">
        <v>173</v>
      </c>
      <c r="C22" s="106">
        <v>95000</v>
      </c>
      <c r="D22" s="107">
        <v>265000</v>
      </c>
      <c r="E22" s="124">
        <f aca="true" t="shared" si="0" ref="E22:E28">C22+D22*$E$14</f>
        <v>3275000</v>
      </c>
    </row>
    <row r="23" spans="1:5" ht="30.75" customHeight="1">
      <c r="A23" s="123" t="s">
        <v>217</v>
      </c>
      <c r="B23" s="105" t="s">
        <v>173</v>
      </c>
      <c r="C23" s="122">
        <v>180000</v>
      </c>
      <c r="D23" s="122">
        <v>225000</v>
      </c>
      <c r="E23" s="124">
        <f t="shared" si="0"/>
        <v>2880000</v>
      </c>
    </row>
    <row r="24" spans="1:5" ht="30.75" customHeight="1">
      <c r="A24" s="208" t="s">
        <v>216</v>
      </c>
      <c r="B24" s="212" t="s">
        <v>173</v>
      </c>
      <c r="C24" s="213">
        <v>0</v>
      </c>
      <c r="D24" s="214">
        <v>0</v>
      </c>
      <c r="E24" s="211">
        <f t="shared" si="0"/>
        <v>0</v>
      </c>
    </row>
    <row r="25" spans="1:5" ht="30" customHeight="1">
      <c r="A25" s="104" t="str">
        <f>'Ap. 5 Tarifado '!A12</f>
        <v>JARDIN INFANTIL "TORTUGUITA MARINA"</v>
      </c>
      <c r="B25" s="101" t="str">
        <f>'Ap. 5 Tarifado '!B12</f>
        <v>Jardín [Media Jornada] 20</v>
      </c>
      <c r="C25" s="102">
        <f>'Ap. 5 Tarifado '!C12</f>
        <v>51467</v>
      </c>
      <c r="D25" s="102">
        <f>'Ap. 5 Tarifado '!G12</f>
        <v>51500</v>
      </c>
      <c r="E25" s="103">
        <f>C25+D25*$E$15</f>
        <v>566467</v>
      </c>
    </row>
    <row r="26" spans="1:5" ht="30" customHeight="1">
      <c r="A26" s="123" t="s">
        <v>181</v>
      </c>
      <c r="B26" s="125" t="s">
        <v>23</v>
      </c>
      <c r="C26" s="230">
        <v>98000</v>
      </c>
      <c r="D26" s="230">
        <v>140000</v>
      </c>
      <c r="E26" s="124">
        <f t="shared" si="0"/>
        <v>1778000</v>
      </c>
    </row>
    <row r="27" spans="1:5" ht="30" customHeight="1">
      <c r="A27" s="123" t="s">
        <v>217</v>
      </c>
      <c r="B27" s="125" t="s">
        <v>23</v>
      </c>
      <c r="C27" s="230">
        <v>190000</v>
      </c>
      <c r="D27" s="230">
        <v>115000</v>
      </c>
      <c r="E27" s="124">
        <f t="shared" si="0"/>
        <v>1570000</v>
      </c>
    </row>
    <row r="28" spans="1:5" ht="32.25" customHeight="1">
      <c r="A28" s="208" t="s">
        <v>216</v>
      </c>
      <c r="B28" s="209" t="s">
        <v>23</v>
      </c>
      <c r="C28" s="210">
        <v>0</v>
      </c>
      <c r="D28" s="210">
        <v>0</v>
      </c>
      <c r="E28" s="211">
        <f t="shared" si="0"/>
        <v>0</v>
      </c>
    </row>
  </sheetData>
  <sheetProtection password="C581" sheet="1" objects="1" scenarios="1"/>
  <mergeCells count="6">
    <mergeCell ref="A1:E1"/>
    <mergeCell ref="A2:E2"/>
    <mergeCell ref="A3:E3"/>
    <mergeCell ref="A5:B5"/>
    <mergeCell ref="A18:A19"/>
    <mergeCell ref="B18:B19"/>
  </mergeCells>
  <printOptions/>
  <pageMargins left="0.7479166666666667" right="0.7479166666666667" top="0.8097222222222222" bottom="0.8902777777777777" header="0.4" footer="0.4"/>
  <pageSetup fitToHeight="1" fitToWidth="1" horizontalDpi="300" verticalDpi="300" orientation="landscape" scale="93" r:id="rId2"/>
  <headerFooter alignWithMargins="0">
    <oddHeader>&amp;LSEPT - 2004&amp;CDIRECTIVA D.B.S.A.
ORDINARIA&amp;R01-BS/0305/04</oddHeader>
    <oddFooter>&amp;LDEPARTAMENTO
RRHH Y GESTION&amp;C01-BS&amp;RPAG &amp;P</oddFooter>
  </headerFooter>
  <drawing r:id="rId1"/>
</worksheet>
</file>

<file path=xl/worksheets/sheet2.xml><?xml version="1.0" encoding="utf-8"?>
<worksheet xmlns="http://schemas.openxmlformats.org/spreadsheetml/2006/main" xmlns:r="http://schemas.openxmlformats.org/officeDocument/2006/relationships">
  <sheetPr codeName="Hoja2"/>
  <dimension ref="A1:IV51"/>
  <sheetViews>
    <sheetView showGridLines="0" tabSelected="1" zoomScale="70" zoomScaleNormal="70" zoomScalePageLayoutView="0" workbookViewId="0" topLeftCell="A1">
      <selection activeCell="I5" sqref="I5:J5"/>
    </sheetView>
  </sheetViews>
  <sheetFormatPr defaultColWidth="11.421875" defaultRowHeight="12.75"/>
  <cols>
    <col min="1" max="1" width="22.57421875" style="1" customWidth="1"/>
    <col min="2" max="2" width="22.00390625" style="1" customWidth="1"/>
    <col min="3" max="3" width="14.00390625" style="1" customWidth="1"/>
    <col min="4" max="4" width="17.421875" style="1" customWidth="1"/>
    <col min="5" max="5" width="18.140625" style="1" customWidth="1"/>
    <col min="6" max="6" width="18.7109375" style="1" customWidth="1"/>
    <col min="7" max="7" width="19.421875" style="1" customWidth="1"/>
    <col min="8" max="8" width="20.00390625" style="1" customWidth="1"/>
    <col min="9" max="10" width="18.7109375" style="1" customWidth="1"/>
    <col min="11" max="11" width="19.00390625" style="1" customWidth="1"/>
    <col min="12" max="12" width="20.28125" style="1" customWidth="1"/>
    <col min="13" max="13" width="21.8515625" style="1" bestFit="1" customWidth="1"/>
    <col min="14" max="14" width="14.57421875" style="1" customWidth="1"/>
    <col min="15" max="15" width="16.28125" style="1" customWidth="1"/>
    <col min="16" max="17" width="12.7109375" style="1" customWidth="1"/>
    <col min="18" max="18" width="11.140625" style="1" customWidth="1"/>
    <col min="19" max="16384" width="11.421875" style="1" customWidth="1"/>
  </cols>
  <sheetData>
    <row r="1" spans="1:18" s="4" customFormat="1" ht="13.5">
      <c r="A1" s="343" t="s">
        <v>0</v>
      </c>
      <c r="B1" s="343"/>
      <c r="C1" s="343"/>
      <c r="D1" s="343"/>
      <c r="E1" s="2"/>
      <c r="F1" s="2"/>
      <c r="G1" s="2"/>
      <c r="H1" s="2"/>
      <c r="I1" s="2"/>
      <c r="J1" s="2"/>
      <c r="K1" s="2"/>
      <c r="L1" s="2"/>
      <c r="M1" s="2"/>
      <c r="N1" s="2"/>
      <c r="O1" s="2"/>
      <c r="P1" s="3"/>
      <c r="Q1" s="3"/>
      <c r="R1" s="3"/>
    </row>
    <row r="2" spans="1:18" s="4" customFormat="1" ht="13.5">
      <c r="A2" s="343" t="s">
        <v>1</v>
      </c>
      <c r="B2" s="343"/>
      <c r="C2" s="343"/>
      <c r="D2" s="343"/>
      <c r="E2" s="2"/>
      <c r="F2" s="2"/>
      <c r="G2" s="2"/>
      <c r="H2" s="2"/>
      <c r="I2" s="2"/>
      <c r="J2" s="2"/>
      <c r="K2" s="2"/>
      <c r="L2" s="2"/>
      <c r="M2" s="2"/>
      <c r="N2" s="2"/>
      <c r="O2" s="2"/>
      <c r="P2" s="3"/>
      <c r="Q2" s="3"/>
      <c r="R2" s="3"/>
    </row>
    <row r="3" spans="1:18" s="4" customFormat="1" ht="13.5">
      <c r="A3" s="343" t="s">
        <v>2</v>
      </c>
      <c r="B3" s="343"/>
      <c r="C3" s="343"/>
      <c r="D3" s="343"/>
      <c r="E3" s="2"/>
      <c r="F3" s="2"/>
      <c r="G3" s="2"/>
      <c r="H3" s="2"/>
      <c r="I3" s="2"/>
      <c r="J3" s="2"/>
      <c r="K3" s="2"/>
      <c r="L3" s="2"/>
      <c r="M3" s="2"/>
      <c r="N3" s="2"/>
      <c r="O3" s="2"/>
      <c r="P3" s="3"/>
      <c r="Q3" s="3"/>
      <c r="R3" s="3"/>
    </row>
    <row r="4" spans="1:2" s="4" customFormat="1" ht="11.25" customHeight="1">
      <c r="A4" s="1"/>
      <c r="B4" s="1"/>
    </row>
    <row r="5" spans="1:256" s="4" customFormat="1" ht="12" customHeight="1">
      <c r="A5" s="1"/>
      <c r="B5" s="1"/>
      <c r="C5" s="1"/>
      <c r="D5" s="1"/>
      <c r="E5" s="1"/>
      <c r="F5" s="1"/>
      <c r="G5" s="71" t="s">
        <v>3</v>
      </c>
      <c r="H5" s="72"/>
      <c r="I5" s="357" t="s">
        <v>178</v>
      </c>
      <c r="J5" s="358"/>
      <c r="L5" s="276" t="s">
        <v>269</v>
      </c>
      <c r="M5" s="238">
        <f>7866151</f>
        <v>7866151</v>
      </c>
      <c r="IV5" s="1"/>
    </row>
    <row r="6" spans="1:13" s="4" customFormat="1" ht="12" customHeight="1">
      <c r="A6" s="1"/>
      <c r="B6" s="1"/>
      <c r="C6" s="1"/>
      <c r="D6" s="1"/>
      <c r="E6" s="1"/>
      <c r="F6" s="1"/>
      <c r="G6" s="5"/>
      <c r="H6" s="7"/>
      <c r="I6" s="7"/>
      <c r="J6" s="8"/>
      <c r="K6" s="8"/>
      <c r="L6" s="276" t="s">
        <v>270</v>
      </c>
      <c r="M6" s="238">
        <v>5540318</v>
      </c>
    </row>
    <row r="7" spans="1:13" ht="18" customHeight="1">
      <c r="A7" s="9" t="s">
        <v>4</v>
      </c>
      <c r="I7" s="112"/>
      <c r="L7" s="222"/>
      <c r="M7" s="277">
        <f>SUM(M5:M6)</f>
        <v>13406469</v>
      </c>
    </row>
    <row r="8" spans="1:12" ht="13.5">
      <c r="A8" s="369" t="str">
        <f>$A$16</f>
        <v>Centro Beneficio</v>
      </c>
      <c r="B8" s="369"/>
      <c r="C8" s="369"/>
      <c r="D8" s="55" t="s">
        <v>5</v>
      </c>
      <c r="E8" s="55" t="s">
        <v>6</v>
      </c>
      <c r="F8" s="55" t="s">
        <v>7</v>
      </c>
      <c r="G8" s="55" t="s">
        <v>8</v>
      </c>
      <c r="H8" s="55" t="s">
        <v>9</v>
      </c>
      <c r="I8" s="55" t="s">
        <v>10</v>
      </c>
      <c r="J8" s="55" t="s">
        <v>11</v>
      </c>
      <c r="K8" s="10"/>
      <c r="L8" s="10"/>
    </row>
    <row r="9" spans="1:12" ht="13.5">
      <c r="A9" s="370" t="s">
        <v>175</v>
      </c>
      <c r="B9" s="371"/>
      <c r="C9" s="372"/>
      <c r="D9" s="11">
        <f>M21</f>
        <v>926400</v>
      </c>
      <c r="E9" s="11">
        <f>N21</f>
        <v>104368800</v>
      </c>
      <c r="F9" s="11">
        <f>O21</f>
        <v>105295200</v>
      </c>
      <c r="G9" s="11">
        <f>'Ap. 3 Costos Directos'!$H$92</f>
        <v>93855012.25405344</v>
      </c>
      <c r="H9" s="98">
        <f>(G9/G12)*'Ap. 4 Costos Indirectos'!$B$9</f>
        <v>8013015.595292352</v>
      </c>
      <c r="I9" s="98">
        <f>SUM(G9:H9)</f>
        <v>101868027.8493458</v>
      </c>
      <c r="J9" s="281">
        <f>F9-I9</f>
        <v>3427172.1506541967</v>
      </c>
      <c r="K9" s="283">
        <f>H9/H12</f>
        <v>0.5774165567351865</v>
      </c>
      <c r="L9" s="231"/>
    </row>
    <row r="10" spans="1:12" ht="13.5">
      <c r="A10" s="363" t="s">
        <v>174</v>
      </c>
      <c r="B10" s="364"/>
      <c r="C10" s="365"/>
      <c r="D10" s="11">
        <f>M25</f>
        <v>0</v>
      </c>
      <c r="E10" s="11">
        <f>N25</f>
        <v>52560000</v>
      </c>
      <c r="F10" s="11">
        <f>O25</f>
        <v>52560000</v>
      </c>
      <c r="G10" s="11">
        <f>'Ap. 3 Costos Directos'!$H$175</f>
        <v>51225055.12342456</v>
      </c>
      <c r="H10" s="98">
        <f>(G10/G12)*'Ap. 4 Costos Indirectos'!$B$9</f>
        <v>4373417.633387864</v>
      </c>
      <c r="I10" s="98">
        <f>SUM(G10:H10)</f>
        <v>55598472.75681242</v>
      </c>
      <c r="J10" s="282">
        <f>F10-I10</f>
        <v>-3038472.7568124235</v>
      </c>
      <c r="K10" s="283">
        <f>H10/H12</f>
        <v>0.31514773945022306</v>
      </c>
      <c r="L10" s="231"/>
    </row>
    <row r="11" spans="1:12" ht="13.5">
      <c r="A11" s="363" t="str">
        <f>$A$26</f>
        <v>JARDIN INFANTIL "TORTUGUITA MARINA"</v>
      </c>
      <c r="B11" s="364"/>
      <c r="C11" s="365"/>
      <c r="D11" s="11">
        <f>M29</f>
        <v>1029340</v>
      </c>
      <c r="E11" s="11">
        <f>N29</f>
        <v>10300000</v>
      </c>
      <c r="F11" s="11">
        <f>O29</f>
        <v>11329340</v>
      </c>
      <c r="G11" s="11">
        <f>'Ap. 3 Costos Directos'!$H$258</f>
        <v>17462920.279</v>
      </c>
      <c r="H11" s="98">
        <f>(G11/G12)*'Ap. 4 Costos Indirectos'!$B$9</f>
        <v>1490923.5977317842</v>
      </c>
      <c r="I11" s="98">
        <f>SUM(G11:H11)</f>
        <v>18953843.876731783</v>
      </c>
      <c r="J11" s="282">
        <f>F11-I11</f>
        <v>-7624503.876731783</v>
      </c>
      <c r="K11" s="283">
        <f>H11/H12</f>
        <v>0.10743570381459043</v>
      </c>
      <c r="L11" s="231"/>
    </row>
    <row r="12" spans="1:256" s="4" customFormat="1" ht="16.5" customHeight="1">
      <c r="A12" s="366" t="s">
        <v>177</v>
      </c>
      <c r="B12" s="367"/>
      <c r="C12" s="368"/>
      <c r="D12" s="12">
        <f aca="true" t="shared" si="0" ref="D12:J12">SUM(D9:D11)</f>
        <v>1955740</v>
      </c>
      <c r="E12" s="12">
        <f t="shared" si="0"/>
        <v>167228800</v>
      </c>
      <c r="F12" s="12">
        <f t="shared" si="0"/>
        <v>169184540</v>
      </c>
      <c r="G12" s="12">
        <f t="shared" si="0"/>
        <v>162542987.656478</v>
      </c>
      <c r="H12" s="109">
        <f t="shared" si="0"/>
        <v>13877356.826412</v>
      </c>
      <c r="I12" s="110">
        <f t="shared" si="0"/>
        <v>176420344.48289</v>
      </c>
      <c r="J12" s="110">
        <f t="shared" si="0"/>
        <v>-7235804.48289001</v>
      </c>
      <c r="K12" s="206"/>
      <c r="L12" s="10"/>
      <c r="M12" s="232"/>
      <c r="IR12" s="1"/>
      <c r="IS12" s="1"/>
      <c r="IT12" s="1"/>
      <c r="IU12" s="1"/>
      <c r="IV12" s="1"/>
    </row>
    <row r="13" spans="1:256" s="16" customFormat="1" ht="16.5" customHeight="1">
      <c r="A13" s="13"/>
      <c r="B13" s="13"/>
      <c r="C13" s="13"/>
      <c r="D13" s="14"/>
      <c r="E13" s="14"/>
      <c r="F13" s="14"/>
      <c r="G13" s="14"/>
      <c r="H13" s="14"/>
      <c r="I13" s="14"/>
      <c r="J13" s="14"/>
      <c r="K13" s="14"/>
      <c r="L13" s="14"/>
      <c r="M13" s="15"/>
      <c r="N13" s="15"/>
      <c r="IT13" s="17"/>
      <c r="IU13" s="17"/>
      <c r="IV13" s="17"/>
    </row>
    <row r="14" spans="1:13" s="20" customFormat="1" ht="16.5" customHeight="1">
      <c r="A14" s="18" t="s">
        <v>230</v>
      </c>
      <c r="B14" s="18">
        <v>1.07</v>
      </c>
      <c r="C14" s="18"/>
      <c r="D14" s="19"/>
      <c r="E14" s="19"/>
      <c r="F14" s="19"/>
      <c r="G14" s="19"/>
      <c r="H14" s="19"/>
      <c r="I14" s="19"/>
      <c r="J14" s="19"/>
      <c r="K14" s="19"/>
      <c r="L14" s="284">
        <f>20/35</f>
        <v>0.5714285714285714</v>
      </c>
      <c r="M14" s="275"/>
    </row>
    <row r="15" spans="1:11" s="20" customFormat="1" ht="16.5" customHeight="1">
      <c r="A15" s="21" t="s">
        <v>12</v>
      </c>
      <c r="B15" s="21"/>
      <c r="C15" s="21"/>
      <c r="D15" s="21"/>
      <c r="E15" s="21"/>
      <c r="F15" s="21"/>
      <c r="G15" s="21"/>
      <c r="H15" s="21"/>
      <c r="I15" s="21"/>
      <c r="J15" s="19"/>
      <c r="K15" s="19"/>
    </row>
    <row r="16" spans="1:17" ht="12.75" customHeight="1" thickBot="1">
      <c r="A16" s="361" t="s">
        <v>13</v>
      </c>
      <c r="B16" s="361" t="s">
        <v>14</v>
      </c>
      <c r="C16" s="361" t="s">
        <v>15</v>
      </c>
      <c r="D16" s="359" t="s">
        <v>271</v>
      </c>
      <c r="E16" s="359"/>
      <c r="F16" s="359"/>
      <c r="G16" s="359"/>
      <c r="H16" s="362" t="s">
        <v>17</v>
      </c>
      <c r="I16" s="362"/>
      <c r="J16" s="362"/>
      <c r="K16" s="362"/>
      <c r="L16" s="22"/>
      <c r="M16" s="23"/>
      <c r="N16" s="23"/>
      <c r="O16" s="23"/>
      <c r="P16" s="23"/>
      <c r="Q16" s="24"/>
    </row>
    <row r="17" spans="1:15" ht="48" customHeight="1" thickBot="1">
      <c r="A17" s="346"/>
      <c r="B17" s="346"/>
      <c r="C17" s="346"/>
      <c r="D17" s="25" t="s">
        <v>58</v>
      </c>
      <c r="E17" s="54" t="s">
        <v>59</v>
      </c>
      <c r="F17" s="54" t="s">
        <v>60</v>
      </c>
      <c r="G17" s="54" t="s">
        <v>18</v>
      </c>
      <c r="H17" s="25" t="s">
        <v>58</v>
      </c>
      <c r="I17" s="54" t="s">
        <v>241</v>
      </c>
      <c r="J17" s="54" t="s">
        <v>60</v>
      </c>
      <c r="K17" s="54" t="s">
        <v>18</v>
      </c>
      <c r="L17" s="56" t="s">
        <v>19</v>
      </c>
      <c r="M17" s="57" t="s">
        <v>20</v>
      </c>
      <c r="N17" s="56" t="s">
        <v>21</v>
      </c>
      <c r="O17" s="58" t="s">
        <v>22</v>
      </c>
    </row>
    <row r="18" spans="1:15" ht="24" customHeight="1" thickBot="1">
      <c r="A18" s="354" t="s">
        <v>175</v>
      </c>
      <c r="B18" s="360" t="s">
        <v>277</v>
      </c>
      <c r="C18" s="89" t="s">
        <v>24</v>
      </c>
      <c r="D18" s="426">
        <f>H18</f>
        <v>231600</v>
      </c>
      <c r="E18" s="427">
        <v>0</v>
      </c>
      <c r="F18" s="427">
        <v>0</v>
      </c>
      <c r="G18" s="427">
        <v>0</v>
      </c>
      <c r="H18" s="428">
        <v>231600</v>
      </c>
      <c r="I18" s="429">
        <v>277800</v>
      </c>
      <c r="J18" s="429">
        <v>253200</v>
      </c>
      <c r="K18" s="428">
        <v>295700</v>
      </c>
      <c r="L18" s="90"/>
      <c r="M18" s="91"/>
      <c r="N18" s="91"/>
      <c r="O18" s="92"/>
    </row>
    <row r="19" spans="1:15" ht="25.5" customHeight="1" thickBot="1">
      <c r="A19" s="355"/>
      <c r="B19" s="347"/>
      <c r="C19" s="82" t="s">
        <v>25</v>
      </c>
      <c r="D19" s="430">
        <v>4</v>
      </c>
      <c r="E19" s="431">
        <v>0</v>
      </c>
      <c r="F19" s="431">
        <v>0</v>
      </c>
      <c r="G19" s="431">
        <v>0</v>
      </c>
      <c r="H19" s="432">
        <v>35</v>
      </c>
      <c r="I19" s="431">
        <v>0</v>
      </c>
      <c r="J19" s="431">
        <v>0</v>
      </c>
      <c r="K19" s="431">
        <v>2</v>
      </c>
      <c r="L19" s="87"/>
      <c r="M19" s="88"/>
      <c r="N19" s="88"/>
      <c r="O19" s="93"/>
    </row>
    <row r="20" spans="1:15" ht="26.25" customHeight="1" thickBot="1">
      <c r="A20" s="355"/>
      <c r="B20" s="347"/>
      <c r="C20" s="28" t="s">
        <v>26</v>
      </c>
      <c r="D20" s="274">
        <f>D19*D18</f>
        <v>926400</v>
      </c>
      <c r="E20" s="83">
        <f>E19*E18</f>
        <v>0</v>
      </c>
      <c r="F20" s="83">
        <f>F19*F18</f>
        <v>0</v>
      </c>
      <c r="G20" s="84">
        <f>G19*G18</f>
        <v>0</v>
      </c>
      <c r="H20" s="83">
        <f>H19*H18*12</f>
        <v>97272000</v>
      </c>
      <c r="I20" s="83">
        <f>I19*I18*12</f>
        <v>0</v>
      </c>
      <c r="J20" s="83">
        <f>J19*J18*12</f>
        <v>0</v>
      </c>
      <c r="K20" s="84">
        <f>K19*K18*12</f>
        <v>7096800</v>
      </c>
      <c r="L20" s="86"/>
      <c r="M20" s="83">
        <f>SUM(D20:G20)</f>
        <v>926400</v>
      </c>
      <c r="N20" s="83">
        <f>SUM(H20:K20)</f>
        <v>104368800</v>
      </c>
      <c r="O20" s="94">
        <f>M20+N20</f>
        <v>105295200</v>
      </c>
    </row>
    <row r="21" spans="1:15" s="31" customFormat="1" ht="29.25" customHeight="1" thickBot="1">
      <c r="A21" s="356"/>
      <c r="B21" s="26" t="s">
        <v>27</v>
      </c>
      <c r="C21" s="29" t="s">
        <v>28</v>
      </c>
      <c r="D21" s="30">
        <f>D20</f>
        <v>926400</v>
      </c>
      <c r="E21" s="30">
        <f aca="true" t="shared" si="1" ref="E21:K21">E20</f>
        <v>0</v>
      </c>
      <c r="F21" s="30">
        <f t="shared" si="1"/>
        <v>0</v>
      </c>
      <c r="G21" s="30">
        <f t="shared" si="1"/>
        <v>0</v>
      </c>
      <c r="H21" s="30">
        <f t="shared" si="1"/>
        <v>97272000</v>
      </c>
      <c r="I21" s="30">
        <f t="shared" si="1"/>
        <v>0</v>
      </c>
      <c r="J21" s="30">
        <f t="shared" si="1"/>
        <v>0</v>
      </c>
      <c r="K21" s="30">
        <f t="shared" si="1"/>
        <v>7096800</v>
      </c>
      <c r="L21" s="30">
        <v>0</v>
      </c>
      <c r="M21" s="30">
        <f>M20</f>
        <v>926400</v>
      </c>
      <c r="N21" s="30">
        <f>N20</f>
        <v>104368800</v>
      </c>
      <c r="O21" s="95">
        <f>O20</f>
        <v>105295200</v>
      </c>
    </row>
    <row r="22" spans="1:15" ht="23.25" customHeight="1" thickBot="1">
      <c r="A22" s="348" t="s">
        <v>174</v>
      </c>
      <c r="B22" s="347" t="s">
        <v>278</v>
      </c>
      <c r="C22" s="27" t="s">
        <v>24</v>
      </c>
      <c r="D22" s="433">
        <v>0</v>
      </c>
      <c r="E22" s="433">
        <v>0</v>
      </c>
      <c r="F22" s="433">
        <v>0</v>
      </c>
      <c r="G22" s="433">
        <v>0</v>
      </c>
      <c r="H22" s="434">
        <v>175200</v>
      </c>
      <c r="I22" s="433">
        <v>0</v>
      </c>
      <c r="J22" s="433">
        <v>0</v>
      </c>
      <c r="K22" s="433">
        <v>0</v>
      </c>
      <c r="L22" s="85"/>
      <c r="M22" s="85"/>
      <c r="N22" s="85"/>
      <c r="O22" s="96"/>
    </row>
    <row r="23" spans="1:15" ht="26.25" customHeight="1" thickBot="1">
      <c r="A23" s="349"/>
      <c r="B23" s="347"/>
      <c r="C23" s="82" t="s">
        <v>25</v>
      </c>
      <c r="D23" s="431">
        <v>0</v>
      </c>
      <c r="E23" s="431">
        <v>0</v>
      </c>
      <c r="F23" s="431">
        <v>0</v>
      </c>
      <c r="G23" s="431">
        <v>0</v>
      </c>
      <c r="H23" s="431">
        <v>25</v>
      </c>
      <c r="I23" s="431">
        <v>0</v>
      </c>
      <c r="J23" s="431">
        <v>0</v>
      </c>
      <c r="K23" s="431">
        <v>0</v>
      </c>
      <c r="L23" s="87"/>
      <c r="M23" s="87"/>
      <c r="N23" s="87"/>
      <c r="O23" s="97"/>
    </row>
    <row r="24" spans="1:15" ht="26.25" customHeight="1" thickBot="1">
      <c r="A24" s="349"/>
      <c r="B24" s="347"/>
      <c r="C24" s="28" t="s">
        <v>26</v>
      </c>
      <c r="D24" s="83">
        <f>D22*D23</f>
        <v>0</v>
      </c>
      <c r="E24" s="83">
        <f>E22*E23</f>
        <v>0</v>
      </c>
      <c r="F24" s="83">
        <f>F22*F23</f>
        <v>0</v>
      </c>
      <c r="G24" s="84">
        <f>G22*G23</f>
        <v>0</v>
      </c>
      <c r="H24" s="83">
        <f>H23*H22*12</f>
        <v>52560000</v>
      </c>
      <c r="I24" s="83">
        <f>I23*I22*12</f>
        <v>0</v>
      </c>
      <c r="J24" s="83">
        <f>J23*J22*12</f>
        <v>0</v>
      </c>
      <c r="K24" s="84">
        <f>K23*K22*12</f>
        <v>0</v>
      </c>
      <c r="L24" s="86"/>
      <c r="M24" s="83">
        <f>SUM(D24:G24)</f>
        <v>0</v>
      </c>
      <c r="N24" s="83">
        <f>SUM(H24:K24)</f>
        <v>52560000</v>
      </c>
      <c r="O24" s="94">
        <f>M24+N24</f>
        <v>52560000</v>
      </c>
    </row>
    <row r="25" spans="1:15" s="31" customFormat="1" ht="29.25" customHeight="1" thickBot="1">
      <c r="A25" s="350"/>
      <c r="B25" s="26" t="s">
        <v>27</v>
      </c>
      <c r="C25" s="29" t="s">
        <v>28</v>
      </c>
      <c r="D25" s="30">
        <f>D24</f>
        <v>0</v>
      </c>
      <c r="E25" s="30">
        <f aca="true" t="shared" si="2" ref="E25:K25">E24</f>
        <v>0</v>
      </c>
      <c r="F25" s="30">
        <f t="shared" si="2"/>
        <v>0</v>
      </c>
      <c r="G25" s="30">
        <f t="shared" si="2"/>
        <v>0</v>
      </c>
      <c r="H25" s="30">
        <f t="shared" si="2"/>
        <v>52560000</v>
      </c>
      <c r="I25" s="30">
        <f t="shared" si="2"/>
        <v>0</v>
      </c>
      <c r="J25" s="30">
        <f t="shared" si="2"/>
        <v>0</v>
      </c>
      <c r="K25" s="30">
        <f t="shared" si="2"/>
        <v>0</v>
      </c>
      <c r="L25" s="30">
        <v>0</v>
      </c>
      <c r="M25" s="30">
        <f>M24</f>
        <v>0</v>
      </c>
      <c r="N25" s="30">
        <f>N24</f>
        <v>52560000</v>
      </c>
      <c r="O25" s="95">
        <f>O24</f>
        <v>52560000</v>
      </c>
    </row>
    <row r="26" spans="1:15" ht="23.25" customHeight="1" thickBot="1">
      <c r="A26" s="351" t="s">
        <v>176</v>
      </c>
      <c r="B26" s="347" t="s">
        <v>279</v>
      </c>
      <c r="C26" s="27" t="s">
        <v>24</v>
      </c>
      <c r="D26" s="433">
        <f>G38*B14</f>
        <v>51467</v>
      </c>
      <c r="E26" s="433">
        <v>0</v>
      </c>
      <c r="F26" s="433">
        <v>0</v>
      </c>
      <c r="G26" s="433">
        <v>0</v>
      </c>
      <c r="H26" s="433">
        <v>51500</v>
      </c>
      <c r="I26" s="433">
        <v>59200</v>
      </c>
      <c r="J26" s="433">
        <v>70300</v>
      </c>
      <c r="K26" s="433">
        <v>89600</v>
      </c>
      <c r="L26" s="85"/>
      <c r="M26" s="85"/>
      <c r="N26" s="85"/>
      <c r="O26" s="96"/>
    </row>
    <row r="27" spans="1:15" ht="26.25" customHeight="1" thickBot="1">
      <c r="A27" s="352"/>
      <c r="B27" s="347"/>
      <c r="C27" s="82" t="s">
        <v>25</v>
      </c>
      <c r="D27" s="431">
        <v>20</v>
      </c>
      <c r="E27" s="431">
        <v>0</v>
      </c>
      <c r="F27" s="431">
        <v>0</v>
      </c>
      <c r="G27" s="431">
        <v>0</v>
      </c>
      <c r="H27" s="431">
        <v>20</v>
      </c>
      <c r="I27" s="431">
        <v>0</v>
      </c>
      <c r="J27" s="431">
        <v>0</v>
      </c>
      <c r="K27" s="431">
        <v>0</v>
      </c>
      <c r="L27" s="87"/>
      <c r="M27" s="87"/>
      <c r="N27" s="87"/>
      <c r="O27" s="97"/>
    </row>
    <row r="28" spans="1:15" ht="26.25" customHeight="1" thickBot="1">
      <c r="A28" s="352"/>
      <c r="B28" s="347"/>
      <c r="C28" s="28" t="s">
        <v>26</v>
      </c>
      <c r="D28" s="83">
        <f>D26*D27</f>
        <v>1029340</v>
      </c>
      <c r="E28" s="83">
        <f>E26*E27</f>
        <v>0</v>
      </c>
      <c r="F28" s="83">
        <f>F26*F27</f>
        <v>0</v>
      </c>
      <c r="G28" s="84">
        <f>G26*G27</f>
        <v>0</v>
      </c>
      <c r="H28" s="83">
        <f>H27*H26*10</f>
        <v>10300000</v>
      </c>
      <c r="I28" s="83">
        <f>I27*I26*10</f>
        <v>0</v>
      </c>
      <c r="J28" s="83">
        <f>J27*J26*10</f>
        <v>0</v>
      </c>
      <c r="K28" s="84">
        <f>K27*K26*10</f>
        <v>0</v>
      </c>
      <c r="L28" s="86"/>
      <c r="M28" s="83">
        <f>SUM(D28:G28)</f>
        <v>1029340</v>
      </c>
      <c r="N28" s="83">
        <f>SUM(H28:K28)</f>
        <v>10300000</v>
      </c>
      <c r="O28" s="94">
        <f>M28+N28</f>
        <v>11329340</v>
      </c>
    </row>
    <row r="29" spans="1:15" s="31" customFormat="1" ht="29.25" customHeight="1" thickBot="1">
      <c r="A29" s="353"/>
      <c r="B29" s="26" t="s">
        <v>27</v>
      </c>
      <c r="C29" s="29" t="s">
        <v>28</v>
      </c>
      <c r="D29" s="30">
        <f>D28</f>
        <v>1029340</v>
      </c>
      <c r="E29" s="30">
        <f aca="true" t="shared" si="3" ref="E29:K29">E28</f>
        <v>0</v>
      </c>
      <c r="F29" s="30">
        <f t="shared" si="3"/>
        <v>0</v>
      </c>
      <c r="G29" s="30">
        <f t="shared" si="3"/>
        <v>0</v>
      </c>
      <c r="H29" s="30">
        <f t="shared" si="3"/>
        <v>10300000</v>
      </c>
      <c r="I29" s="30">
        <f t="shared" si="3"/>
        <v>0</v>
      </c>
      <c r="J29" s="30">
        <f t="shared" si="3"/>
        <v>0</v>
      </c>
      <c r="K29" s="30">
        <f t="shared" si="3"/>
        <v>0</v>
      </c>
      <c r="L29" s="30">
        <v>0</v>
      </c>
      <c r="M29" s="30">
        <f>M28</f>
        <v>1029340</v>
      </c>
      <c r="N29" s="30">
        <f>N28</f>
        <v>10300000</v>
      </c>
      <c r="O29" s="95">
        <f>O28</f>
        <v>11329340</v>
      </c>
    </row>
    <row r="34" ht="23.25" customHeight="1"/>
    <row r="35" spans="1:8" ht="30">
      <c r="A35" s="435" t="s">
        <v>231</v>
      </c>
      <c r="B35" s="70"/>
      <c r="C35" s="70"/>
      <c r="F35" s="435" t="s">
        <v>239</v>
      </c>
      <c r="G35" s="70"/>
      <c r="H35" s="70"/>
    </row>
    <row r="36" spans="1:8" ht="15">
      <c r="A36" s="70"/>
      <c r="B36" s="70"/>
      <c r="C36" s="70"/>
      <c r="F36" s="70"/>
      <c r="G36" s="70"/>
      <c r="H36" s="70"/>
    </row>
    <row r="37" spans="1:8" ht="30.75">
      <c r="A37" s="436" t="s">
        <v>232</v>
      </c>
      <c r="B37" s="436" t="s">
        <v>16</v>
      </c>
      <c r="C37" s="436" t="s">
        <v>17</v>
      </c>
      <c r="F37" s="436" t="s">
        <v>232</v>
      </c>
      <c r="G37" s="436" t="s">
        <v>16</v>
      </c>
      <c r="H37" s="436" t="s">
        <v>17</v>
      </c>
    </row>
    <row r="38" spans="1:8" ht="15">
      <c r="A38" s="437" t="s">
        <v>233</v>
      </c>
      <c r="B38" s="438">
        <v>0</v>
      </c>
      <c r="C38" s="438">
        <v>216400</v>
      </c>
      <c r="F38" s="437" t="s">
        <v>233</v>
      </c>
      <c r="G38" s="438">
        <v>48100</v>
      </c>
      <c r="H38" s="438">
        <v>48100</v>
      </c>
    </row>
    <row r="39" spans="1:8" ht="15">
      <c r="A39" s="437" t="s">
        <v>234</v>
      </c>
      <c r="B39" s="438">
        <v>259600</v>
      </c>
      <c r="C39" s="438">
        <v>259600</v>
      </c>
      <c r="F39" s="437" t="s">
        <v>240</v>
      </c>
      <c r="G39" s="438">
        <v>55300</v>
      </c>
      <c r="H39" s="438">
        <v>55300</v>
      </c>
    </row>
    <row r="40" spans="1:8" ht="15">
      <c r="A40" s="437" t="s">
        <v>235</v>
      </c>
      <c r="B40" s="438">
        <v>236600</v>
      </c>
      <c r="C40" s="438">
        <v>236600</v>
      </c>
      <c r="F40" s="437" t="s">
        <v>235</v>
      </c>
      <c r="G40" s="438">
        <v>65700</v>
      </c>
      <c r="H40" s="438">
        <v>65700</v>
      </c>
    </row>
    <row r="41" spans="1:8" ht="15">
      <c r="A41" s="437" t="s">
        <v>18</v>
      </c>
      <c r="B41" s="438">
        <v>276300</v>
      </c>
      <c r="C41" s="438">
        <v>276300</v>
      </c>
      <c r="F41" s="437" t="s">
        <v>18</v>
      </c>
      <c r="G41" s="438">
        <v>83700</v>
      </c>
      <c r="H41" s="438">
        <v>83700</v>
      </c>
    </row>
    <row r="42" spans="1:8" ht="15">
      <c r="A42" s="439"/>
      <c r="B42" s="70"/>
      <c r="C42" s="70"/>
      <c r="F42" s="439"/>
      <c r="G42" s="70"/>
      <c r="H42" s="70"/>
    </row>
    <row r="43" spans="1:3" ht="15">
      <c r="A43" s="435" t="s">
        <v>236</v>
      </c>
      <c r="B43" s="70"/>
      <c r="C43" s="70"/>
    </row>
    <row r="44" spans="1:3" ht="15">
      <c r="A44" s="70"/>
      <c r="B44" s="70"/>
      <c r="C44" s="70"/>
    </row>
    <row r="45" spans="1:3" ht="30.75">
      <c r="A45" s="436" t="s">
        <v>232</v>
      </c>
      <c r="B45" s="436" t="s">
        <v>16</v>
      </c>
      <c r="C45" s="436" t="s">
        <v>17</v>
      </c>
    </row>
    <row r="46" spans="1:3" ht="15">
      <c r="A46" s="437" t="s">
        <v>233</v>
      </c>
      <c r="B46" s="438">
        <v>0</v>
      </c>
      <c r="C46" s="438">
        <v>163700</v>
      </c>
    </row>
    <row r="47" spans="1:3" ht="15">
      <c r="A47" s="439"/>
      <c r="B47" s="70"/>
      <c r="C47" s="70"/>
    </row>
    <row r="48" spans="1:3" ht="30">
      <c r="A48" s="435" t="s">
        <v>237</v>
      </c>
      <c r="B48" s="70"/>
      <c r="C48" s="70"/>
    </row>
    <row r="49" spans="1:3" ht="30.75">
      <c r="A49" s="436" t="s">
        <v>232</v>
      </c>
      <c r="B49" s="436" t="s">
        <v>16</v>
      </c>
      <c r="C49" s="436" t="s">
        <v>17</v>
      </c>
    </row>
    <row r="50" spans="1:3" ht="15">
      <c r="A50" s="437" t="s">
        <v>238</v>
      </c>
      <c r="B50" s="438">
        <v>0</v>
      </c>
      <c r="C50" s="438">
        <v>129800</v>
      </c>
    </row>
    <row r="51" spans="1:3" ht="15">
      <c r="A51" s="68"/>
      <c r="B51" s="68"/>
      <c r="C51" s="68"/>
    </row>
  </sheetData>
  <sheetProtection password="C581" sheet="1" objects="1" scenarios="1"/>
  <mergeCells count="20">
    <mergeCell ref="C16:C17"/>
    <mergeCell ref="H16:K16"/>
    <mergeCell ref="A10:C10"/>
    <mergeCell ref="A11:C11"/>
    <mergeCell ref="A12:C12"/>
    <mergeCell ref="A1:D1"/>
    <mergeCell ref="A2:D2"/>
    <mergeCell ref="A3:D3"/>
    <mergeCell ref="A8:C8"/>
    <mergeCell ref="A9:C9"/>
    <mergeCell ref="B26:B28"/>
    <mergeCell ref="A22:A25"/>
    <mergeCell ref="B22:B24"/>
    <mergeCell ref="A26:A29"/>
    <mergeCell ref="A18:A21"/>
    <mergeCell ref="I5:J5"/>
    <mergeCell ref="D16:G16"/>
    <mergeCell ref="B18:B20"/>
    <mergeCell ref="A16:A17"/>
    <mergeCell ref="B16:B17"/>
  </mergeCells>
  <printOptions/>
  <pageMargins left="1.11" right="0.11811023622047245" top="0.8661417322834646" bottom="0.7086614173228347" header="0.4330708661417323" footer="0.4724409448818898"/>
  <pageSetup fitToHeight="2" horizontalDpi="300" verticalDpi="300" orientation="landscape" paperSize="5" scale="60" r:id="rId1"/>
  <headerFooter alignWithMargins="0">
    <oddHeader>&amp;LSEPT - 2004&amp;CDIRECTIVA D.B.S.A.
ORDINARIA&amp;R01-BS/0305/04</oddHeader>
    <oddFooter>&amp;LDEPARTAMENTO
RRHH Y GESTION&amp;C01-BS&amp;RPAG &amp;P</oddFooter>
  </headerFooter>
</worksheet>
</file>

<file path=xl/worksheets/sheet3.xml><?xml version="1.0" encoding="utf-8"?>
<worksheet xmlns="http://schemas.openxmlformats.org/spreadsheetml/2006/main" xmlns:r="http://schemas.openxmlformats.org/officeDocument/2006/relationships">
  <sheetPr codeName="Hoja1"/>
  <dimension ref="A1:T258"/>
  <sheetViews>
    <sheetView showGridLines="0" zoomScale="70" zoomScaleNormal="70" zoomScalePageLayoutView="0" workbookViewId="0" topLeftCell="A1">
      <selection activeCell="D5" sqref="D5:E5"/>
    </sheetView>
  </sheetViews>
  <sheetFormatPr defaultColWidth="11.421875" defaultRowHeight="12.75"/>
  <cols>
    <col min="1" max="1" width="19.28125" style="1" customWidth="1"/>
    <col min="2" max="2" width="21.140625" style="1" customWidth="1"/>
    <col min="3" max="3" width="33.140625" style="1" customWidth="1"/>
    <col min="4" max="4" width="18.8515625" style="1" customWidth="1"/>
    <col min="5" max="5" width="18.7109375" style="1" customWidth="1"/>
    <col min="6" max="6" width="14.140625" style="32" customWidth="1"/>
    <col min="7" max="7" width="22.8515625" style="4" bestFit="1" customWidth="1"/>
    <col min="8" max="8" width="22.7109375" style="4" customWidth="1"/>
    <col min="9" max="9" width="15.421875" style="114" hidden="1" customWidth="1"/>
    <col min="10" max="10" width="15.421875" style="114" customWidth="1"/>
    <col min="11" max="11" width="19.57421875" style="1" bestFit="1" customWidth="1"/>
    <col min="12" max="12" width="2.57421875" style="1" customWidth="1"/>
    <col min="13" max="13" width="19.28125" style="1" customWidth="1"/>
    <col min="14" max="14" width="23.28125" style="1" customWidth="1"/>
    <col min="15" max="15" width="20.8515625" style="1" customWidth="1"/>
    <col min="16" max="16" width="16.00390625" style="1" customWidth="1"/>
    <col min="17" max="17" width="15.7109375" style="1" customWidth="1"/>
    <col min="18" max="18" width="11.421875" style="1" customWidth="1"/>
    <col min="19" max="19" width="18.28125" style="1" customWidth="1"/>
    <col min="20" max="20" width="12.28125" style="1" bestFit="1" customWidth="1"/>
    <col min="21" max="16384" width="11.421875" style="1" customWidth="1"/>
  </cols>
  <sheetData>
    <row r="1" spans="2:8" ht="12.75">
      <c r="B1" s="343" t="s">
        <v>0</v>
      </c>
      <c r="C1" s="343"/>
      <c r="D1" s="343"/>
      <c r="E1" s="343"/>
      <c r="F1" s="343"/>
      <c r="G1" s="343"/>
      <c r="H1" s="1"/>
    </row>
    <row r="2" spans="2:8" ht="12.75">
      <c r="B2" s="343" t="s">
        <v>29</v>
      </c>
      <c r="C2" s="343"/>
      <c r="D2" s="343"/>
      <c r="E2" s="343"/>
      <c r="F2" s="343"/>
      <c r="G2" s="343"/>
      <c r="H2" s="1"/>
    </row>
    <row r="3" spans="2:8" ht="12.75">
      <c r="B3" s="343" t="s">
        <v>30</v>
      </c>
      <c r="C3" s="343"/>
      <c r="D3" s="343"/>
      <c r="E3" s="343"/>
      <c r="F3" s="343"/>
      <c r="G3" s="343"/>
      <c r="H3" s="1"/>
    </row>
    <row r="4" spans="2:3" ht="6.75" customHeight="1">
      <c r="B4" s="4"/>
      <c r="C4" s="4"/>
    </row>
    <row r="5" spans="2:10" s="68" customFormat="1" ht="15.75">
      <c r="B5" s="69" t="s">
        <v>31</v>
      </c>
      <c r="C5" s="69"/>
      <c r="D5" s="409" t="str">
        <f>'Ap. 2 Ingresos C. Benef.'!$I$5</f>
        <v>BIENTALC</v>
      </c>
      <c r="E5" s="410"/>
      <c r="F5" s="70"/>
      <c r="G5" s="70"/>
      <c r="H5" s="70"/>
      <c r="I5" s="115"/>
      <c r="J5" s="115"/>
    </row>
    <row r="6" spans="1:4" ht="15" customHeight="1">
      <c r="A6" s="67"/>
      <c r="B6" s="67"/>
      <c r="C6" s="408"/>
      <c r="D6" s="408"/>
    </row>
    <row r="7" spans="4:10" ht="12.75">
      <c r="D7" s="153" t="s">
        <v>32</v>
      </c>
      <c r="E7" s="411" t="s">
        <v>33</v>
      </c>
      <c r="F7" s="412"/>
      <c r="G7" s="154" t="s">
        <v>34</v>
      </c>
      <c r="H7" s="155" t="s">
        <v>35</v>
      </c>
      <c r="I7" s="126"/>
      <c r="J7" s="248"/>
    </row>
    <row r="8" spans="1:17" ht="25.5" customHeight="1" thickBot="1">
      <c r="A8" s="36" t="s">
        <v>36</v>
      </c>
      <c r="B8" s="413" t="s">
        <v>37</v>
      </c>
      <c r="C8" s="413"/>
      <c r="D8" s="65" t="s">
        <v>38</v>
      </c>
      <c r="E8" s="37" t="s">
        <v>39</v>
      </c>
      <c r="F8" s="37" t="s">
        <v>40</v>
      </c>
      <c r="G8" s="66" t="s">
        <v>41</v>
      </c>
      <c r="H8" s="129" t="s">
        <v>41</v>
      </c>
      <c r="I8" s="127" t="s">
        <v>180</v>
      </c>
      <c r="J8" s="249"/>
      <c r="Q8" s="233">
        <f>SUM(P10:P13)</f>
        <v>11</v>
      </c>
    </row>
    <row r="9" spans="1:20" ht="27" customHeight="1">
      <c r="A9" s="405" t="str">
        <f>'Ap. 2 Ingresos C. Benef.'!$A$18</f>
        <v>SALA CUNA "BURBUJITA DE MAR"</v>
      </c>
      <c r="B9" s="397" t="s">
        <v>121</v>
      </c>
      <c r="C9" s="398"/>
      <c r="D9" s="156">
        <f>SUM(D19:D20,D17,D11:D15)</f>
        <v>69732276.42223999</v>
      </c>
      <c r="E9" s="157">
        <f>SUM(E19:E20,E17,E11:E15)</f>
        <v>0</v>
      </c>
      <c r="F9" s="158"/>
      <c r="G9" s="157">
        <f>SUM(G19:G20,G17,G11:G15)</f>
        <v>0</v>
      </c>
      <c r="H9" s="159">
        <f>SUM(H19:H20,H17,H11:H15)</f>
        <v>69732276.42223999</v>
      </c>
      <c r="I9" s="126"/>
      <c r="J9" s="248"/>
      <c r="O9" s="373" t="s">
        <v>274</v>
      </c>
      <c r="P9" s="374"/>
      <c r="Q9" s="375"/>
      <c r="S9" s="247" t="s">
        <v>253</v>
      </c>
      <c r="T9" s="234">
        <f>'[2]REMUN. BASE  AREA EDUC.'!$T$26</f>
        <v>3536170</v>
      </c>
    </row>
    <row r="10" spans="1:17" ht="14.25" customHeight="1">
      <c r="A10" s="406"/>
      <c r="B10" s="378" t="s">
        <v>61</v>
      </c>
      <c r="C10" s="379"/>
      <c r="D10" s="399"/>
      <c r="E10" s="400"/>
      <c r="F10" s="400"/>
      <c r="G10" s="400"/>
      <c r="H10" s="401"/>
      <c r="I10" s="126"/>
      <c r="J10" s="248"/>
      <c r="O10" s="222" t="s">
        <v>243</v>
      </c>
      <c r="P10" s="235">
        <v>2</v>
      </c>
      <c r="Q10" s="236">
        <f>SUM('[2]REMUN. BASE  AREA EDUC.'!$I$15:$I$16)</f>
        <v>1193930.247</v>
      </c>
    </row>
    <row r="11" spans="1:20" ht="12.75">
      <c r="A11" s="406"/>
      <c r="B11" s="440" t="s">
        <v>62</v>
      </c>
      <c r="C11" s="441"/>
      <c r="D11" s="116">
        <f>Q17</f>
        <v>60872887.224</v>
      </c>
      <c r="E11" s="160">
        <v>0</v>
      </c>
      <c r="F11" s="113">
        <v>1</v>
      </c>
      <c r="G11" s="161">
        <f>E11*F11</f>
        <v>0</v>
      </c>
      <c r="H11" s="162">
        <f>G11+D11</f>
        <v>60872887.224</v>
      </c>
      <c r="I11" s="126">
        <v>32947576</v>
      </c>
      <c r="J11" s="248"/>
      <c r="O11" s="222" t="s">
        <v>244</v>
      </c>
      <c r="P11" s="235">
        <v>6</v>
      </c>
      <c r="Q11" s="236">
        <f>SUM('[2]REMUN. BASE  AREA EDUC.'!$I$17:$I$22)</f>
        <v>2848931.434</v>
      </c>
      <c r="S11" s="376" t="s">
        <v>245</v>
      </c>
      <c r="T11" s="377"/>
    </row>
    <row r="12" spans="1:20" ht="12.75">
      <c r="A12" s="406"/>
      <c r="B12" s="440" t="s">
        <v>63</v>
      </c>
      <c r="C12" s="441"/>
      <c r="D12" s="116">
        <f>'[2]REMUN. BASE  AREA EDUC.'!$L$26</f>
        <v>3164092.326</v>
      </c>
      <c r="E12" s="160">
        <v>0</v>
      </c>
      <c r="F12" s="113">
        <v>1</v>
      </c>
      <c r="G12" s="161">
        <f>E12*F12</f>
        <v>0</v>
      </c>
      <c r="H12" s="162">
        <f>G12+D12</f>
        <v>3164092.326</v>
      </c>
      <c r="I12" s="126"/>
      <c r="J12" s="248"/>
      <c r="K12" s="112"/>
      <c r="M12" s="112"/>
      <c r="O12" s="222" t="s">
        <v>246</v>
      </c>
      <c r="P12" s="235">
        <v>2</v>
      </c>
      <c r="Q12" s="237">
        <f>SUM('[2]REMUN. BASE  AREA EDUC.'!$I$24:$I$25)</f>
        <v>676409.175</v>
      </c>
      <c r="S12" s="225" t="s">
        <v>272</v>
      </c>
      <c r="T12" s="238">
        <f>'[2]REMUN. BASE  AREA EDUC.'!$S$26</f>
        <v>1300397.9999999998</v>
      </c>
    </row>
    <row r="13" spans="1:20" ht="12.75">
      <c r="A13" s="406"/>
      <c r="B13" s="442" t="s">
        <v>64</v>
      </c>
      <c r="C13" s="443"/>
      <c r="D13" s="163">
        <v>0</v>
      </c>
      <c r="E13" s="160">
        <v>0</v>
      </c>
      <c r="F13" s="113">
        <v>1</v>
      </c>
      <c r="G13" s="161">
        <f>E13*F13</f>
        <v>0</v>
      </c>
      <c r="H13" s="162">
        <f>G13+D13</f>
        <v>0</v>
      </c>
      <c r="I13" s="126"/>
      <c r="J13" s="248"/>
      <c r="O13" s="222" t="s">
        <v>247</v>
      </c>
      <c r="P13" s="235">
        <v>1</v>
      </c>
      <c r="Q13" s="236">
        <f>'[2]REMUN. BASE  AREA EDUC.'!$I$23</f>
        <v>353469.746</v>
      </c>
      <c r="S13" s="225" t="s">
        <v>248</v>
      </c>
      <c r="T13" s="238">
        <f>'[1]SUELDOS'!AF3*'[1]Ap. 3 Costos Directos'!P8</f>
        <v>0</v>
      </c>
    </row>
    <row r="14" spans="1:20" ht="12.75">
      <c r="A14" s="406"/>
      <c r="B14" s="440" t="s">
        <v>65</v>
      </c>
      <c r="C14" s="441"/>
      <c r="D14" s="116">
        <f>SUM(T14+T9)</f>
        <v>4836568</v>
      </c>
      <c r="E14" s="160">
        <v>0</v>
      </c>
      <c r="F14" s="113">
        <v>1</v>
      </c>
      <c r="G14" s="161">
        <f>E14*F14</f>
        <v>0</v>
      </c>
      <c r="H14" s="162">
        <f>G14+D14</f>
        <v>4836568</v>
      </c>
      <c r="I14" s="126">
        <v>540000</v>
      </c>
      <c r="J14" s="248"/>
      <c r="O14" s="239" t="s">
        <v>249</v>
      </c>
      <c r="P14" s="240"/>
      <c r="Q14" s="241">
        <f>SUM(Q10:Q13)</f>
        <v>5072740.602</v>
      </c>
      <c r="S14" s="234" t="s">
        <v>191</v>
      </c>
      <c r="T14" s="242">
        <f>SUM(T12:T13)</f>
        <v>1300397.9999999998</v>
      </c>
    </row>
    <row r="15" spans="1:17" ht="12.75" customHeight="1">
      <c r="A15" s="406"/>
      <c r="B15" s="440" t="s">
        <v>136</v>
      </c>
      <c r="C15" s="441"/>
      <c r="D15" s="163">
        <v>0</v>
      </c>
      <c r="E15" s="160">
        <v>0</v>
      </c>
      <c r="F15" s="113">
        <v>1</v>
      </c>
      <c r="G15" s="161">
        <f>E15*F15</f>
        <v>0</v>
      </c>
      <c r="H15" s="162">
        <f>G15+D15</f>
        <v>0</v>
      </c>
      <c r="I15" s="126"/>
      <c r="J15" s="248"/>
      <c r="O15" s="239" t="s">
        <v>250</v>
      </c>
      <c r="P15" s="243"/>
      <c r="Q15" s="444">
        <f>Q14*12</f>
        <v>60872887.224</v>
      </c>
    </row>
    <row r="16" spans="1:17" ht="12.75" customHeight="1">
      <c r="A16" s="406"/>
      <c r="B16" s="378" t="s">
        <v>66</v>
      </c>
      <c r="C16" s="379"/>
      <c r="D16" s="386"/>
      <c r="E16" s="387"/>
      <c r="F16" s="387"/>
      <c r="G16" s="387"/>
      <c r="H16" s="388"/>
      <c r="I16" s="126"/>
      <c r="J16" s="248"/>
      <c r="O16" s="239" t="s">
        <v>251</v>
      </c>
      <c r="P16" s="240"/>
      <c r="Q16" s="244"/>
    </row>
    <row r="17" spans="1:17" ht="12.75" customHeight="1">
      <c r="A17" s="406"/>
      <c r="B17" s="440" t="s">
        <v>67</v>
      </c>
      <c r="C17" s="441"/>
      <c r="D17" s="116">
        <f>D11/100</f>
        <v>608728.8722399999</v>
      </c>
      <c r="E17" s="117"/>
      <c r="F17" s="113">
        <v>2</v>
      </c>
      <c r="G17" s="161">
        <f>E17*F17</f>
        <v>0</v>
      </c>
      <c r="H17" s="162">
        <f>G17+D17</f>
        <v>608728.8722399999</v>
      </c>
      <c r="I17" s="126">
        <v>99902</v>
      </c>
      <c r="J17" s="248"/>
      <c r="O17" s="245" t="s">
        <v>252</v>
      </c>
      <c r="P17" s="246"/>
      <c r="Q17" s="242">
        <f>Q15</f>
        <v>60872887.224</v>
      </c>
    </row>
    <row r="18" spans="1:10" ht="12.75" customHeight="1">
      <c r="A18" s="406"/>
      <c r="B18" s="378" t="s">
        <v>68</v>
      </c>
      <c r="C18" s="379"/>
      <c r="D18" s="386"/>
      <c r="E18" s="387"/>
      <c r="F18" s="387"/>
      <c r="G18" s="387"/>
      <c r="H18" s="388"/>
      <c r="I18" s="126"/>
      <c r="J18" s="248"/>
    </row>
    <row r="19" spans="1:10" ht="12.75" customHeight="1">
      <c r="A19" s="406"/>
      <c r="B19" s="445" t="s">
        <v>69</v>
      </c>
      <c r="C19" s="446"/>
      <c r="D19" s="116">
        <v>250000</v>
      </c>
      <c r="E19" s="160">
        <v>0</v>
      </c>
      <c r="F19" s="113">
        <v>1</v>
      </c>
      <c r="G19" s="161">
        <f>E19*F19</f>
        <v>0</v>
      </c>
      <c r="H19" s="162">
        <f>G19+D19</f>
        <v>250000</v>
      </c>
      <c r="I19" s="126"/>
      <c r="J19" s="252" t="s">
        <v>254</v>
      </c>
    </row>
    <row r="20" spans="1:10" ht="12.75" customHeight="1">
      <c r="A20" s="406"/>
      <c r="B20" s="447" t="s">
        <v>70</v>
      </c>
      <c r="C20" s="446"/>
      <c r="D20" s="163">
        <v>0</v>
      </c>
      <c r="E20" s="160">
        <v>0</v>
      </c>
      <c r="F20" s="113">
        <v>1</v>
      </c>
      <c r="G20" s="161">
        <f>E20*F20</f>
        <v>0</v>
      </c>
      <c r="H20" s="162">
        <f>G20+D20</f>
        <v>0</v>
      </c>
      <c r="I20" s="126"/>
      <c r="J20" s="248"/>
    </row>
    <row r="21" spans="1:16" ht="12.75" customHeight="1">
      <c r="A21" s="406"/>
      <c r="B21" s="392" t="s">
        <v>71</v>
      </c>
      <c r="C21" s="393"/>
      <c r="D21" s="164">
        <f>SUM(D23:D24,D26:D28,D30:D32,D34:D45,D47:D55,D57:D63,D65:D67,D69:D74,D76:D77,D79:D82,D84:D85)</f>
        <v>13385688.5</v>
      </c>
      <c r="E21" s="165">
        <f>SUM(E23:E24,E26:E28,E30:E32,E34:E45,E47:E55,E57:E63,E65:E67,E69:E74,E76:E77,E79:E82,E84:E85)</f>
        <v>128253.82011801196</v>
      </c>
      <c r="F21" s="166"/>
      <c r="G21" s="165">
        <f>SUM(G23:G24,G26:G28,G30:G32,G34:G45,G47:G55,G57:G63,G65:G67,G69:G74,G76:G77,G79:G82,G84:G85)</f>
        <v>7920486</v>
      </c>
      <c r="H21" s="167">
        <f>SUM(H23:H24,H26:H28,H30:H32,H34:H45,H47:H55,H57:H63,H65:H67,H69:H74,H76:H77,H79:H82,H84:H85)</f>
        <v>23011462.831813455</v>
      </c>
      <c r="I21" s="126"/>
      <c r="J21" s="248"/>
      <c r="M21" s="221">
        <v>2016</v>
      </c>
      <c r="N21" s="222" t="s">
        <v>222</v>
      </c>
      <c r="O21" s="222" t="s">
        <v>226</v>
      </c>
      <c r="P21" s="222"/>
    </row>
    <row r="22" spans="1:16" ht="12.75" customHeight="1">
      <c r="A22" s="406"/>
      <c r="B22" s="448" t="s">
        <v>72</v>
      </c>
      <c r="C22" s="449"/>
      <c r="D22" s="386"/>
      <c r="E22" s="387"/>
      <c r="F22" s="387"/>
      <c r="G22" s="387"/>
      <c r="H22" s="388"/>
      <c r="I22" s="126"/>
      <c r="J22" s="248"/>
      <c r="M22" s="223" t="s">
        <v>221</v>
      </c>
      <c r="N22" s="222" t="s">
        <v>223</v>
      </c>
      <c r="O22" s="222" t="s">
        <v>228</v>
      </c>
      <c r="P22" s="222"/>
    </row>
    <row r="23" spans="1:16" ht="12.75" customHeight="1">
      <c r="A23" s="406"/>
      <c r="B23" s="442" t="s">
        <v>73</v>
      </c>
      <c r="C23" s="443"/>
      <c r="D23" s="254">
        <f>E23*F23</f>
        <v>1870000</v>
      </c>
      <c r="E23" s="255">
        <v>1700</v>
      </c>
      <c r="F23" s="260">
        <f>5*20*11</f>
        <v>1100</v>
      </c>
      <c r="G23" s="256">
        <f>E23*F23</f>
        <v>1870000</v>
      </c>
      <c r="H23" s="257">
        <f>G23</f>
        <v>1870000</v>
      </c>
      <c r="I23" s="126">
        <v>0</v>
      </c>
      <c r="J23" s="251" t="s">
        <v>255</v>
      </c>
      <c r="K23" s="253">
        <f>H23/11/5/20</f>
        <v>1700</v>
      </c>
      <c r="M23" s="224">
        <v>5760501</v>
      </c>
      <c r="N23" s="222"/>
      <c r="O23" s="222"/>
      <c r="P23" s="222"/>
    </row>
    <row r="24" spans="1:16" ht="12.75" customHeight="1">
      <c r="A24" s="406"/>
      <c r="B24" s="450" t="s">
        <v>123</v>
      </c>
      <c r="C24" s="451"/>
      <c r="D24" s="254">
        <v>0</v>
      </c>
      <c r="E24" s="255">
        <f>+M31</f>
        <v>148.82011801195813</v>
      </c>
      <c r="F24" s="452">
        <f>N30</f>
        <v>27216</v>
      </c>
      <c r="G24" s="256"/>
      <c r="H24" s="257">
        <f>F24*E24</f>
        <v>4050288.3318134523</v>
      </c>
      <c r="I24" s="126">
        <v>920335</v>
      </c>
      <c r="J24" s="248"/>
      <c r="M24" s="225">
        <f>+N24+O24</f>
        <v>40140</v>
      </c>
      <c r="N24" s="226">
        <f>35*3*25*12</f>
        <v>31500</v>
      </c>
      <c r="O24" s="225">
        <f>24*2*15*12</f>
        <v>8640</v>
      </c>
      <c r="P24" s="222"/>
    </row>
    <row r="25" spans="1:16" ht="12.75" customHeight="1">
      <c r="A25" s="406"/>
      <c r="B25" s="448" t="s">
        <v>74</v>
      </c>
      <c r="C25" s="449"/>
      <c r="D25" s="386"/>
      <c r="E25" s="387"/>
      <c r="F25" s="387"/>
      <c r="G25" s="387"/>
      <c r="H25" s="388"/>
      <c r="I25" s="126"/>
      <c r="J25" s="248"/>
      <c r="K25" s="112"/>
      <c r="M25" s="227">
        <f>+M23/M24</f>
        <v>143.51023916292974</v>
      </c>
      <c r="N25" s="224"/>
      <c r="O25" s="222"/>
      <c r="P25" s="222"/>
    </row>
    <row r="26" spans="1:14" ht="12.75" customHeight="1">
      <c r="A26" s="406"/>
      <c r="B26" s="440" t="s">
        <v>122</v>
      </c>
      <c r="C26" s="441"/>
      <c r="D26" s="254">
        <f>E26*F26</f>
        <v>175000</v>
      </c>
      <c r="E26" s="259">
        <v>25000</v>
      </c>
      <c r="F26" s="260">
        <v>7</v>
      </c>
      <c r="G26" s="256">
        <f>E26*F26</f>
        <v>175000</v>
      </c>
      <c r="H26" s="257">
        <f>G26</f>
        <v>175000</v>
      </c>
      <c r="I26" s="126"/>
      <c r="J26" s="251" t="s">
        <v>281</v>
      </c>
      <c r="M26" s="220"/>
      <c r="N26" s="215"/>
    </row>
    <row r="27" spans="1:16" ht="12.75" customHeight="1">
      <c r="A27" s="406"/>
      <c r="B27" s="440" t="s">
        <v>75</v>
      </c>
      <c r="C27" s="441"/>
      <c r="D27" s="271">
        <v>0</v>
      </c>
      <c r="E27" s="255">
        <v>25000</v>
      </c>
      <c r="F27" s="260">
        <v>13</v>
      </c>
      <c r="G27" s="256">
        <f>E27*F27</f>
        <v>325000</v>
      </c>
      <c r="H27" s="257">
        <f>G27+D27</f>
        <v>325000</v>
      </c>
      <c r="I27" s="126">
        <v>0</v>
      </c>
      <c r="J27" s="251" t="s">
        <v>256</v>
      </c>
      <c r="M27" s="221" t="s">
        <v>229</v>
      </c>
      <c r="N27" s="222" t="s">
        <v>222</v>
      </c>
      <c r="O27" s="222" t="s">
        <v>227</v>
      </c>
      <c r="P27" s="222"/>
    </row>
    <row r="28" spans="1:16" ht="13.5" customHeight="1">
      <c r="A28" s="406"/>
      <c r="B28" s="440" t="s">
        <v>76</v>
      </c>
      <c r="C28" s="441"/>
      <c r="D28" s="163">
        <v>0</v>
      </c>
      <c r="E28" s="117">
        <v>30000</v>
      </c>
      <c r="F28" s="113">
        <v>2</v>
      </c>
      <c r="G28" s="161">
        <f>E28*F28</f>
        <v>60000</v>
      </c>
      <c r="H28" s="162">
        <f>G28+D28</f>
        <v>60000</v>
      </c>
      <c r="I28" s="126"/>
      <c r="J28" s="248"/>
      <c r="M28" s="223" t="s">
        <v>221</v>
      </c>
      <c r="N28" s="222" t="s">
        <v>224</v>
      </c>
      <c r="O28" s="222" t="s">
        <v>225</v>
      </c>
      <c r="P28" s="222"/>
    </row>
    <row r="29" spans="1:16" ht="12.75" customHeight="1">
      <c r="A29" s="406"/>
      <c r="B29" s="448" t="s">
        <v>77</v>
      </c>
      <c r="C29" s="449"/>
      <c r="D29" s="389"/>
      <c r="E29" s="390"/>
      <c r="F29" s="390"/>
      <c r="G29" s="390"/>
      <c r="H29" s="391"/>
      <c r="I29" s="126"/>
      <c r="J29" s="248"/>
      <c r="M29" s="229">
        <f>+M30*M31</f>
        <v>6282590.101992824</v>
      </c>
      <c r="N29" s="222"/>
      <c r="O29" s="222"/>
      <c r="P29" s="222"/>
    </row>
    <row r="30" spans="1:16" ht="12.75" customHeight="1">
      <c r="A30" s="406"/>
      <c r="B30" s="442" t="s">
        <v>78</v>
      </c>
      <c r="C30" s="443"/>
      <c r="D30" s="116">
        <v>0</v>
      </c>
      <c r="E30" s="160">
        <v>0</v>
      </c>
      <c r="F30" s="113">
        <v>1</v>
      </c>
      <c r="G30" s="161">
        <f>E30*F30</f>
        <v>0</v>
      </c>
      <c r="H30" s="162">
        <f>G30+D30</f>
        <v>0</v>
      </c>
      <c r="I30" s="126"/>
      <c r="J30" s="248"/>
      <c r="M30" s="225">
        <f>+N30+O30</f>
        <v>42216</v>
      </c>
      <c r="N30" s="226">
        <f>36*3*21*12</f>
        <v>27216</v>
      </c>
      <c r="O30" s="233">
        <f>25*2*25*12</f>
        <v>15000</v>
      </c>
      <c r="P30" s="222"/>
    </row>
    <row r="31" spans="1:16" ht="12.75">
      <c r="A31" s="406"/>
      <c r="B31" s="440" t="s">
        <v>179</v>
      </c>
      <c r="C31" s="441"/>
      <c r="D31" s="116">
        <v>150000</v>
      </c>
      <c r="E31" s="117">
        <v>0</v>
      </c>
      <c r="F31" s="113">
        <v>1</v>
      </c>
      <c r="G31" s="161">
        <f>E31*F31</f>
        <v>0</v>
      </c>
      <c r="H31" s="162">
        <f>G31+D31</f>
        <v>150000</v>
      </c>
      <c r="I31" s="126"/>
      <c r="J31" s="258">
        <f>H31/12</f>
        <v>12500</v>
      </c>
      <c r="K31" s="252" t="s">
        <v>257</v>
      </c>
      <c r="M31" s="228">
        <f>+M25*1.037</f>
        <v>148.82011801195813</v>
      </c>
      <c r="N31" s="224"/>
      <c r="O31" s="222"/>
      <c r="P31" s="222"/>
    </row>
    <row r="32" spans="1:10" ht="12.75">
      <c r="A32" s="406"/>
      <c r="B32" s="440" t="s">
        <v>79</v>
      </c>
      <c r="C32" s="441"/>
      <c r="D32" s="163">
        <v>0</v>
      </c>
      <c r="E32" s="117">
        <v>0</v>
      </c>
      <c r="F32" s="113">
        <v>1</v>
      </c>
      <c r="G32" s="161">
        <f>E32*F32</f>
        <v>0</v>
      </c>
      <c r="H32" s="162">
        <f>G32+D32</f>
        <v>0</v>
      </c>
      <c r="I32" s="126">
        <v>0</v>
      </c>
      <c r="J32" s="248"/>
    </row>
    <row r="33" spans="1:10" ht="12.75">
      <c r="A33" s="406"/>
      <c r="B33" s="448" t="s">
        <v>80</v>
      </c>
      <c r="C33" s="449"/>
      <c r="D33" s="386"/>
      <c r="E33" s="387"/>
      <c r="F33" s="387"/>
      <c r="G33" s="387"/>
      <c r="H33" s="388"/>
      <c r="I33" s="126"/>
      <c r="J33" s="248"/>
    </row>
    <row r="34" spans="1:10" ht="12.75">
      <c r="A34" s="406"/>
      <c r="B34" s="453" t="s">
        <v>135</v>
      </c>
      <c r="C34" s="454"/>
      <c r="D34" s="254">
        <f>780473/2</f>
        <v>390236.5</v>
      </c>
      <c r="E34" s="259">
        <v>0</v>
      </c>
      <c r="F34" s="260">
        <v>1</v>
      </c>
      <c r="G34" s="256">
        <f>E34*F34</f>
        <v>0</v>
      </c>
      <c r="H34" s="257">
        <f>G34+D34</f>
        <v>390236.5</v>
      </c>
      <c r="I34" s="126"/>
      <c r="J34" s="251" t="s">
        <v>267</v>
      </c>
    </row>
    <row r="35" spans="1:10" ht="12.75">
      <c r="A35" s="406"/>
      <c r="B35" s="442" t="s">
        <v>81</v>
      </c>
      <c r="C35" s="443"/>
      <c r="D35" s="116">
        <v>313801</v>
      </c>
      <c r="E35" s="160">
        <v>0</v>
      </c>
      <c r="F35" s="113">
        <v>1</v>
      </c>
      <c r="G35" s="161">
        <f aca="true" t="shared" si="0" ref="G35:G45">E35*F35</f>
        <v>0</v>
      </c>
      <c r="H35" s="162">
        <f aca="true" t="shared" si="1" ref="H35:H45">G35+D35</f>
        <v>313801</v>
      </c>
      <c r="I35" s="126"/>
      <c r="J35" s="248"/>
    </row>
    <row r="36" spans="1:10" ht="12.75">
      <c r="A36" s="406"/>
      <c r="B36" s="450" t="s">
        <v>138</v>
      </c>
      <c r="C36" s="451"/>
      <c r="D36" s="116">
        <v>0</v>
      </c>
      <c r="E36" s="160">
        <v>0</v>
      </c>
      <c r="F36" s="113">
        <v>1</v>
      </c>
      <c r="G36" s="161">
        <f t="shared" si="0"/>
        <v>0</v>
      </c>
      <c r="H36" s="162">
        <f t="shared" si="1"/>
        <v>0</v>
      </c>
      <c r="I36" s="126"/>
      <c r="J36" s="248"/>
    </row>
    <row r="37" spans="1:10" ht="12.75">
      <c r="A37" s="406"/>
      <c r="B37" s="442" t="s">
        <v>82</v>
      </c>
      <c r="C37" s="443"/>
      <c r="D37" s="116">
        <v>0</v>
      </c>
      <c r="E37" s="160">
        <v>0</v>
      </c>
      <c r="F37" s="113">
        <v>1</v>
      </c>
      <c r="G37" s="161">
        <f t="shared" si="0"/>
        <v>0</v>
      </c>
      <c r="H37" s="162">
        <f t="shared" si="1"/>
        <v>0</v>
      </c>
      <c r="I37" s="126"/>
      <c r="J37" s="248"/>
    </row>
    <row r="38" spans="1:10" ht="12.75">
      <c r="A38" s="406"/>
      <c r="B38" s="442" t="s">
        <v>83</v>
      </c>
      <c r="C38" s="443"/>
      <c r="D38" s="116">
        <v>80000</v>
      </c>
      <c r="E38" s="160">
        <v>0</v>
      </c>
      <c r="F38" s="113">
        <v>1</v>
      </c>
      <c r="G38" s="161">
        <f t="shared" si="0"/>
        <v>0</v>
      </c>
      <c r="H38" s="162">
        <f t="shared" si="1"/>
        <v>80000</v>
      </c>
      <c r="I38" s="126"/>
      <c r="J38" s="248"/>
    </row>
    <row r="39" spans="1:10" ht="12.75">
      <c r="A39" s="406"/>
      <c r="B39" s="450" t="s">
        <v>84</v>
      </c>
      <c r="C39" s="451"/>
      <c r="D39" s="116">
        <v>40000</v>
      </c>
      <c r="E39" s="160">
        <v>0</v>
      </c>
      <c r="F39" s="113">
        <v>1</v>
      </c>
      <c r="G39" s="161">
        <f t="shared" si="0"/>
        <v>0</v>
      </c>
      <c r="H39" s="162">
        <f t="shared" si="1"/>
        <v>40000</v>
      </c>
      <c r="I39" s="126"/>
      <c r="J39" s="248"/>
    </row>
    <row r="40" spans="1:10" ht="12.75">
      <c r="A40" s="406"/>
      <c r="B40" s="442" t="s">
        <v>124</v>
      </c>
      <c r="C40" s="443"/>
      <c r="D40" s="116">
        <v>265020</v>
      </c>
      <c r="E40" s="160">
        <v>0</v>
      </c>
      <c r="F40" s="113">
        <v>1</v>
      </c>
      <c r="G40" s="161">
        <f t="shared" si="0"/>
        <v>0</v>
      </c>
      <c r="H40" s="162">
        <f t="shared" si="1"/>
        <v>265020</v>
      </c>
      <c r="I40" s="126"/>
      <c r="J40" s="248"/>
    </row>
    <row r="41" spans="1:10" ht="12.75">
      <c r="A41" s="406"/>
      <c r="B41" s="442" t="s">
        <v>129</v>
      </c>
      <c r="C41" s="443"/>
      <c r="D41" s="116">
        <v>220000</v>
      </c>
      <c r="E41" s="160">
        <v>0</v>
      </c>
      <c r="F41" s="113">
        <v>1</v>
      </c>
      <c r="G41" s="161">
        <f t="shared" si="0"/>
        <v>0</v>
      </c>
      <c r="H41" s="162">
        <f t="shared" si="1"/>
        <v>220000</v>
      </c>
      <c r="I41" s="126"/>
      <c r="J41" s="280">
        <f>H41/12</f>
        <v>18333.333333333332</v>
      </c>
    </row>
    <row r="42" spans="1:10" ht="12.75">
      <c r="A42" s="406"/>
      <c r="B42" s="442" t="s">
        <v>85</v>
      </c>
      <c r="C42" s="443"/>
      <c r="D42" s="116">
        <v>1733407</v>
      </c>
      <c r="E42" s="160">
        <v>0</v>
      </c>
      <c r="F42" s="113">
        <v>1</v>
      </c>
      <c r="G42" s="161">
        <f t="shared" si="0"/>
        <v>0</v>
      </c>
      <c r="H42" s="162">
        <f t="shared" si="1"/>
        <v>1733407</v>
      </c>
      <c r="I42" s="126">
        <v>14845</v>
      </c>
      <c r="J42" s="280">
        <f>H42/12</f>
        <v>144450.58333333334</v>
      </c>
    </row>
    <row r="43" spans="1:10" ht="12.75">
      <c r="A43" s="406"/>
      <c r="B43" s="442" t="s">
        <v>86</v>
      </c>
      <c r="C43" s="443"/>
      <c r="D43" s="116">
        <v>430107</v>
      </c>
      <c r="E43" s="160">
        <v>0</v>
      </c>
      <c r="F43" s="113">
        <v>1</v>
      </c>
      <c r="G43" s="161">
        <f t="shared" si="0"/>
        <v>0</v>
      </c>
      <c r="H43" s="162">
        <f t="shared" si="1"/>
        <v>430107</v>
      </c>
      <c r="I43" s="126">
        <v>111000</v>
      </c>
      <c r="J43" s="280"/>
    </row>
    <row r="44" spans="1:10" ht="12.75">
      <c r="A44" s="406"/>
      <c r="B44" s="442" t="s">
        <v>87</v>
      </c>
      <c r="C44" s="443"/>
      <c r="D44" s="163">
        <v>0</v>
      </c>
      <c r="E44" s="160">
        <v>0</v>
      </c>
      <c r="F44" s="113">
        <v>1</v>
      </c>
      <c r="G44" s="161">
        <f t="shared" si="0"/>
        <v>0</v>
      </c>
      <c r="H44" s="162">
        <f t="shared" si="1"/>
        <v>0</v>
      </c>
      <c r="I44" s="126"/>
      <c r="J44" s="280"/>
    </row>
    <row r="45" spans="1:10" ht="12.75">
      <c r="A45" s="406"/>
      <c r="B45" s="442" t="s">
        <v>125</v>
      </c>
      <c r="C45" s="443"/>
      <c r="D45" s="116">
        <v>0</v>
      </c>
      <c r="E45" s="255">
        <v>9000</v>
      </c>
      <c r="F45" s="260">
        <v>37</v>
      </c>
      <c r="G45" s="256">
        <f t="shared" si="0"/>
        <v>333000</v>
      </c>
      <c r="H45" s="257">
        <f t="shared" si="1"/>
        <v>333000</v>
      </c>
      <c r="I45" s="265">
        <v>341349</v>
      </c>
      <c r="J45" s="258" t="s">
        <v>282</v>
      </c>
    </row>
    <row r="46" spans="1:10" s="4" customFormat="1" ht="12.75">
      <c r="A46" s="406"/>
      <c r="B46" s="448" t="s">
        <v>88</v>
      </c>
      <c r="C46" s="449"/>
      <c r="D46" s="386"/>
      <c r="E46" s="387"/>
      <c r="F46" s="387"/>
      <c r="G46" s="387"/>
      <c r="H46" s="388"/>
      <c r="I46" s="128"/>
      <c r="J46" s="280"/>
    </row>
    <row r="47" spans="1:10" s="4" customFormat="1" ht="12.75">
      <c r="A47" s="406"/>
      <c r="B47" s="440" t="s">
        <v>137</v>
      </c>
      <c r="C47" s="441"/>
      <c r="D47" s="116">
        <v>0</v>
      </c>
      <c r="E47" s="117">
        <v>122</v>
      </c>
      <c r="F47" s="113">
        <v>16663</v>
      </c>
      <c r="G47" s="161">
        <f>E47*F47</f>
        <v>2032886</v>
      </c>
      <c r="H47" s="162">
        <f>G47+D47</f>
        <v>2032886</v>
      </c>
      <c r="I47" s="128">
        <v>373402</v>
      </c>
      <c r="J47" s="280">
        <f>H47/12</f>
        <v>169407.16666666666</v>
      </c>
    </row>
    <row r="48" spans="1:10" ht="12.75">
      <c r="A48" s="406"/>
      <c r="B48" s="440" t="s">
        <v>42</v>
      </c>
      <c r="C48" s="441"/>
      <c r="D48" s="116">
        <v>0</v>
      </c>
      <c r="E48" s="117">
        <v>441</v>
      </c>
      <c r="F48" s="113">
        <v>552</v>
      </c>
      <c r="G48" s="161">
        <f aca="true" t="shared" si="2" ref="G48:G55">E48*F48</f>
        <v>243432</v>
      </c>
      <c r="H48" s="162">
        <f aca="true" t="shared" si="3" ref="H48:H55">G48+D48</f>
        <v>243432</v>
      </c>
      <c r="I48" s="126">
        <v>51031</v>
      </c>
      <c r="J48" s="280">
        <f>H48/12</f>
        <v>20286</v>
      </c>
    </row>
    <row r="49" spans="1:10" ht="12.75">
      <c r="A49" s="406"/>
      <c r="B49" s="440" t="s">
        <v>43</v>
      </c>
      <c r="C49" s="441"/>
      <c r="D49" s="116">
        <v>30634</v>
      </c>
      <c r="E49" s="117">
        <v>442</v>
      </c>
      <c r="F49" s="113">
        <v>5304</v>
      </c>
      <c r="G49" s="161">
        <f t="shared" si="2"/>
        <v>2344368</v>
      </c>
      <c r="H49" s="162">
        <f t="shared" si="3"/>
        <v>2375002</v>
      </c>
      <c r="I49" s="126">
        <v>856603</v>
      </c>
      <c r="J49" s="280">
        <f>H49/12</f>
        <v>197916.83333333334</v>
      </c>
    </row>
    <row r="50" spans="1:10" ht="12.75">
      <c r="A50" s="406"/>
      <c r="B50" s="440" t="s">
        <v>89</v>
      </c>
      <c r="C50" s="441"/>
      <c r="D50" s="116">
        <v>0</v>
      </c>
      <c r="E50" s="117">
        <v>0</v>
      </c>
      <c r="F50" s="113">
        <v>1</v>
      </c>
      <c r="G50" s="161">
        <f t="shared" si="2"/>
        <v>0</v>
      </c>
      <c r="H50" s="162">
        <f t="shared" si="3"/>
        <v>0</v>
      </c>
      <c r="I50" s="126"/>
      <c r="J50" s="248"/>
    </row>
    <row r="51" spans="1:10" ht="12.75">
      <c r="A51" s="406"/>
      <c r="B51" s="440" t="s">
        <v>90</v>
      </c>
      <c r="C51" s="441"/>
      <c r="D51" s="116">
        <v>0</v>
      </c>
      <c r="E51" s="117">
        <v>0</v>
      </c>
      <c r="F51" s="113">
        <v>1</v>
      </c>
      <c r="G51" s="161">
        <f t="shared" si="2"/>
        <v>0</v>
      </c>
      <c r="H51" s="162">
        <f t="shared" si="3"/>
        <v>0</v>
      </c>
      <c r="I51" s="126">
        <v>9007</v>
      </c>
      <c r="J51" s="248"/>
    </row>
    <row r="52" spans="1:10" ht="12.75">
      <c r="A52" s="406"/>
      <c r="B52" s="440" t="s">
        <v>91</v>
      </c>
      <c r="C52" s="441"/>
      <c r="D52" s="116">
        <v>0</v>
      </c>
      <c r="E52" s="117">
        <v>0</v>
      </c>
      <c r="F52" s="113">
        <v>1</v>
      </c>
      <c r="G52" s="161">
        <f t="shared" si="2"/>
        <v>0</v>
      </c>
      <c r="H52" s="162">
        <f t="shared" si="3"/>
        <v>0</v>
      </c>
      <c r="I52" s="126">
        <v>21739</v>
      </c>
      <c r="J52" s="248"/>
    </row>
    <row r="53" spans="1:10" ht="12.75">
      <c r="A53" s="406"/>
      <c r="B53" s="440" t="s">
        <v>92</v>
      </c>
      <c r="C53" s="441"/>
      <c r="D53" s="116">
        <v>0</v>
      </c>
      <c r="E53" s="117">
        <v>0</v>
      </c>
      <c r="F53" s="113">
        <v>1</v>
      </c>
      <c r="G53" s="161">
        <f t="shared" si="2"/>
        <v>0</v>
      </c>
      <c r="H53" s="162">
        <f t="shared" si="3"/>
        <v>0</v>
      </c>
      <c r="I53" s="126"/>
      <c r="J53" s="248"/>
    </row>
    <row r="54" spans="1:10" ht="12.75">
      <c r="A54" s="406"/>
      <c r="B54" s="440" t="s">
        <v>93</v>
      </c>
      <c r="C54" s="441"/>
      <c r="D54" s="116">
        <v>522648</v>
      </c>
      <c r="E54" s="117">
        <v>0</v>
      </c>
      <c r="F54" s="113">
        <v>1</v>
      </c>
      <c r="G54" s="161">
        <f t="shared" si="2"/>
        <v>0</v>
      </c>
      <c r="H54" s="162">
        <f t="shared" si="3"/>
        <v>522648</v>
      </c>
      <c r="I54" s="126">
        <v>317260</v>
      </c>
      <c r="J54" s="280">
        <f>H54/12</f>
        <v>43554</v>
      </c>
    </row>
    <row r="55" spans="1:10" ht="12.75">
      <c r="A55" s="406"/>
      <c r="B55" s="440" t="s">
        <v>94</v>
      </c>
      <c r="C55" s="441"/>
      <c r="D55" s="163">
        <v>0</v>
      </c>
      <c r="E55" s="160">
        <v>0</v>
      </c>
      <c r="F55" s="113">
        <v>1</v>
      </c>
      <c r="G55" s="161">
        <f t="shared" si="2"/>
        <v>0</v>
      </c>
      <c r="H55" s="162">
        <f t="shared" si="3"/>
        <v>0</v>
      </c>
      <c r="I55" s="126"/>
      <c r="J55" s="248"/>
    </row>
    <row r="56" spans="1:10" ht="12.75">
      <c r="A56" s="406"/>
      <c r="B56" s="378" t="s">
        <v>95</v>
      </c>
      <c r="C56" s="379"/>
      <c r="D56" s="386"/>
      <c r="E56" s="387"/>
      <c r="F56" s="387"/>
      <c r="G56" s="387"/>
      <c r="H56" s="388"/>
      <c r="I56" s="126"/>
      <c r="J56" s="248"/>
    </row>
    <row r="57" spans="1:10" ht="12.75">
      <c r="A57" s="406"/>
      <c r="B57" s="442" t="s">
        <v>96</v>
      </c>
      <c r="C57" s="443"/>
      <c r="D57" s="254">
        <f>4600000-2000000</f>
        <v>2600000</v>
      </c>
      <c r="E57" s="259">
        <v>0</v>
      </c>
      <c r="F57" s="260">
        <v>1</v>
      </c>
      <c r="G57" s="256">
        <f>E57*F57</f>
        <v>0</v>
      </c>
      <c r="H57" s="257">
        <f aca="true" t="shared" si="4" ref="H57:H63">G57+D57</f>
        <v>2600000</v>
      </c>
      <c r="I57" s="126"/>
      <c r="J57" s="248"/>
    </row>
    <row r="58" spans="1:10" ht="12.75">
      <c r="A58" s="406"/>
      <c r="B58" s="442" t="s">
        <v>97</v>
      </c>
      <c r="C58" s="443"/>
      <c r="D58" s="116">
        <v>300000</v>
      </c>
      <c r="E58" s="160">
        <v>0</v>
      </c>
      <c r="F58" s="113">
        <v>1</v>
      </c>
      <c r="G58" s="161">
        <f aca="true" t="shared" si="5" ref="G58:G63">E58*F58</f>
        <v>0</v>
      </c>
      <c r="H58" s="162">
        <f t="shared" si="4"/>
        <v>300000</v>
      </c>
      <c r="I58" s="126"/>
      <c r="J58" s="248"/>
    </row>
    <row r="59" spans="1:10" ht="12.75">
      <c r="A59" s="406"/>
      <c r="B59" s="442" t="s">
        <v>98</v>
      </c>
      <c r="C59" s="443"/>
      <c r="D59" s="116">
        <v>200000</v>
      </c>
      <c r="E59" s="160">
        <v>0</v>
      </c>
      <c r="F59" s="113">
        <v>1</v>
      </c>
      <c r="G59" s="161">
        <f t="shared" si="5"/>
        <v>0</v>
      </c>
      <c r="H59" s="162">
        <f t="shared" si="4"/>
        <v>200000</v>
      </c>
      <c r="I59" s="126"/>
      <c r="J59" s="248"/>
    </row>
    <row r="60" spans="1:10" ht="12.75">
      <c r="A60" s="406"/>
      <c r="B60" s="442" t="s">
        <v>99</v>
      </c>
      <c r="C60" s="443"/>
      <c r="D60" s="116">
        <v>0</v>
      </c>
      <c r="E60" s="160">
        <v>0</v>
      </c>
      <c r="F60" s="113">
        <v>1</v>
      </c>
      <c r="G60" s="161">
        <f t="shared" si="5"/>
        <v>0</v>
      </c>
      <c r="H60" s="162">
        <f t="shared" si="4"/>
        <v>0</v>
      </c>
      <c r="I60" s="126"/>
      <c r="J60" s="248"/>
    </row>
    <row r="61" spans="1:10" ht="12.75">
      <c r="A61" s="406"/>
      <c r="B61" s="442" t="s">
        <v>100</v>
      </c>
      <c r="C61" s="443"/>
      <c r="D61" s="163">
        <v>0</v>
      </c>
      <c r="E61" s="160">
        <v>0</v>
      </c>
      <c r="F61" s="113">
        <v>1</v>
      </c>
      <c r="G61" s="161">
        <f t="shared" si="5"/>
        <v>0</v>
      </c>
      <c r="H61" s="162">
        <f t="shared" si="4"/>
        <v>0</v>
      </c>
      <c r="I61" s="126"/>
      <c r="J61" s="248"/>
    </row>
    <row r="62" spans="1:10" ht="12.75">
      <c r="A62" s="406"/>
      <c r="B62" s="442" t="s">
        <v>101</v>
      </c>
      <c r="C62" s="443"/>
      <c r="D62" s="163">
        <v>0</v>
      </c>
      <c r="E62" s="160">
        <v>0</v>
      </c>
      <c r="F62" s="113">
        <v>1</v>
      </c>
      <c r="G62" s="161">
        <f t="shared" si="5"/>
        <v>0</v>
      </c>
      <c r="H62" s="162">
        <f t="shared" si="4"/>
        <v>0</v>
      </c>
      <c r="I62" s="126"/>
      <c r="J62" s="248"/>
    </row>
    <row r="63" spans="1:10" ht="12.75">
      <c r="A63" s="406"/>
      <c r="B63" s="442" t="s">
        <v>102</v>
      </c>
      <c r="C63" s="443"/>
      <c r="D63" s="116">
        <v>500000</v>
      </c>
      <c r="E63" s="160">
        <v>0</v>
      </c>
      <c r="F63" s="113">
        <v>1</v>
      </c>
      <c r="G63" s="161">
        <f t="shared" si="5"/>
        <v>0</v>
      </c>
      <c r="H63" s="162">
        <f t="shared" si="4"/>
        <v>500000</v>
      </c>
      <c r="I63" s="126"/>
      <c r="J63" s="248"/>
    </row>
    <row r="64" spans="1:10" ht="12.75">
      <c r="A64" s="406"/>
      <c r="B64" s="378" t="s">
        <v>103</v>
      </c>
      <c r="C64" s="379"/>
      <c r="D64" s="386"/>
      <c r="E64" s="387"/>
      <c r="F64" s="387"/>
      <c r="G64" s="387"/>
      <c r="H64" s="388"/>
      <c r="I64" s="126"/>
      <c r="J64" s="248"/>
    </row>
    <row r="65" spans="1:10" ht="12.75">
      <c r="A65" s="406"/>
      <c r="B65" s="440" t="s">
        <v>104</v>
      </c>
      <c r="C65" s="441"/>
      <c r="D65" s="116">
        <v>0</v>
      </c>
      <c r="E65" s="160">
        <v>0</v>
      </c>
      <c r="F65" s="113">
        <v>1</v>
      </c>
      <c r="G65" s="161">
        <f>E65*F65</f>
        <v>0</v>
      </c>
      <c r="H65" s="162">
        <f>G65+D65</f>
        <v>0</v>
      </c>
      <c r="I65" s="126"/>
      <c r="J65" s="248"/>
    </row>
    <row r="66" spans="1:10" ht="12.75">
      <c r="A66" s="406"/>
      <c r="B66" s="440" t="s">
        <v>105</v>
      </c>
      <c r="C66" s="441"/>
      <c r="D66" s="163">
        <v>0</v>
      </c>
      <c r="E66" s="160">
        <v>0</v>
      </c>
      <c r="F66" s="113">
        <v>1</v>
      </c>
      <c r="G66" s="161">
        <f>E66*F66</f>
        <v>0</v>
      </c>
      <c r="H66" s="162">
        <f>G66+D66</f>
        <v>0</v>
      </c>
      <c r="I66" s="126">
        <v>121041</v>
      </c>
      <c r="J66" s="248"/>
    </row>
    <row r="67" spans="1:10" ht="12.75">
      <c r="A67" s="406"/>
      <c r="B67" s="440" t="s">
        <v>106</v>
      </c>
      <c r="C67" s="441"/>
      <c r="D67" s="163">
        <v>0</v>
      </c>
      <c r="E67" s="160">
        <v>0</v>
      </c>
      <c r="F67" s="113">
        <v>1</v>
      </c>
      <c r="G67" s="161">
        <f>E67*F67</f>
        <v>0</v>
      </c>
      <c r="H67" s="162">
        <f>G67+D67</f>
        <v>0</v>
      </c>
      <c r="I67" s="126"/>
      <c r="J67" s="248"/>
    </row>
    <row r="68" spans="1:10" ht="12.75">
      <c r="A68" s="406"/>
      <c r="B68" s="378" t="s">
        <v>44</v>
      </c>
      <c r="C68" s="379"/>
      <c r="D68" s="386"/>
      <c r="E68" s="387"/>
      <c r="F68" s="387"/>
      <c r="G68" s="387"/>
      <c r="H68" s="388"/>
      <c r="I68" s="126"/>
      <c r="J68" s="248"/>
    </row>
    <row r="69" spans="1:10" ht="12.75">
      <c r="A69" s="406"/>
      <c r="B69" s="442" t="s">
        <v>139</v>
      </c>
      <c r="C69" s="443"/>
      <c r="D69" s="116">
        <v>250000</v>
      </c>
      <c r="E69" s="160">
        <v>0</v>
      </c>
      <c r="F69" s="113">
        <v>1</v>
      </c>
      <c r="G69" s="161">
        <f aca="true" t="shared" si="6" ref="G69:G74">E69*F69</f>
        <v>0</v>
      </c>
      <c r="H69" s="162">
        <f aca="true" t="shared" si="7" ref="H69:H74">G69+D69</f>
        <v>250000</v>
      </c>
      <c r="I69" s="126"/>
      <c r="J69" s="248"/>
    </row>
    <row r="70" spans="1:10" ht="12.75">
      <c r="A70" s="406"/>
      <c r="B70" s="440" t="s">
        <v>107</v>
      </c>
      <c r="C70" s="441"/>
      <c r="D70" s="116">
        <v>0</v>
      </c>
      <c r="E70" s="160">
        <v>0</v>
      </c>
      <c r="F70" s="113">
        <v>1</v>
      </c>
      <c r="G70" s="161">
        <f t="shared" si="6"/>
        <v>0</v>
      </c>
      <c r="H70" s="162">
        <f t="shared" si="7"/>
        <v>0</v>
      </c>
      <c r="I70" s="126">
        <v>285600</v>
      </c>
      <c r="J70" s="248"/>
    </row>
    <row r="71" spans="1:10" ht="12.75">
      <c r="A71" s="406"/>
      <c r="B71" s="440" t="s">
        <v>108</v>
      </c>
      <c r="C71" s="441"/>
      <c r="D71" s="116">
        <v>0</v>
      </c>
      <c r="E71" s="160">
        <v>0</v>
      </c>
      <c r="F71" s="113">
        <v>1</v>
      </c>
      <c r="G71" s="161">
        <f t="shared" si="6"/>
        <v>0</v>
      </c>
      <c r="H71" s="162">
        <f t="shared" si="7"/>
        <v>0</v>
      </c>
      <c r="I71" s="126"/>
      <c r="J71" s="248"/>
    </row>
    <row r="72" spans="1:10" ht="12.75">
      <c r="A72" s="406"/>
      <c r="B72" s="440" t="s">
        <v>109</v>
      </c>
      <c r="C72" s="441"/>
      <c r="D72" s="116">
        <v>0</v>
      </c>
      <c r="E72" s="160">
        <v>0</v>
      </c>
      <c r="F72" s="113">
        <v>1</v>
      </c>
      <c r="G72" s="161">
        <f t="shared" si="6"/>
        <v>0</v>
      </c>
      <c r="H72" s="162">
        <f t="shared" si="7"/>
        <v>0</v>
      </c>
      <c r="I72" s="126"/>
      <c r="J72" s="248"/>
    </row>
    <row r="73" spans="1:10" ht="12.75">
      <c r="A73" s="406"/>
      <c r="B73" s="440" t="s">
        <v>110</v>
      </c>
      <c r="C73" s="441"/>
      <c r="D73" s="254">
        <v>120000</v>
      </c>
      <c r="E73" s="259">
        <v>0</v>
      </c>
      <c r="F73" s="260">
        <v>1</v>
      </c>
      <c r="G73" s="256">
        <f t="shared" si="6"/>
        <v>0</v>
      </c>
      <c r="H73" s="257">
        <f t="shared" si="7"/>
        <v>120000</v>
      </c>
      <c r="I73" s="126"/>
      <c r="J73" s="251" t="s">
        <v>280</v>
      </c>
    </row>
    <row r="74" spans="1:10" ht="12.75">
      <c r="A74" s="406"/>
      <c r="B74" s="450" t="s">
        <v>111</v>
      </c>
      <c r="C74" s="455"/>
      <c r="D74" s="163"/>
      <c r="E74" s="160">
        <v>0</v>
      </c>
      <c r="F74" s="113">
        <v>1</v>
      </c>
      <c r="G74" s="161">
        <f t="shared" si="6"/>
        <v>0</v>
      </c>
      <c r="H74" s="162">
        <f t="shared" si="7"/>
        <v>0</v>
      </c>
      <c r="I74" s="126">
        <v>67000</v>
      </c>
      <c r="J74" s="248"/>
    </row>
    <row r="75" spans="1:10" ht="12.75">
      <c r="A75" s="406"/>
      <c r="B75" s="378" t="s">
        <v>112</v>
      </c>
      <c r="C75" s="379"/>
      <c r="D75" s="386"/>
      <c r="E75" s="387"/>
      <c r="F75" s="387"/>
      <c r="G75" s="387"/>
      <c r="H75" s="388"/>
      <c r="I75" s="126"/>
      <c r="J75" s="248"/>
    </row>
    <row r="76" spans="1:10" ht="12.75">
      <c r="A76" s="406"/>
      <c r="B76" s="440" t="s">
        <v>127</v>
      </c>
      <c r="C76" s="441"/>
      <c r="D76" s="254">
        <v>537216</v>
      </c>
      <c r="E76" s="255">
        <v>0</v>
      </c>
      <c r="F76" s="260">
        <v>1</v>
      </c>
      <c r="G76" s="256">
        <f>F76*E76</f>
        <v>0</v>
      </c>
      <c r="H76" s="257">
        <f>G76+D76</f>
        <v>537216</v>
      </c>
      <c r="I76" s="126"/>
      <c r="J76" s="248"/>
    </row>
    <row r="77" spans="1:10" ht="12.75">
      <c r="A77" s="406"/>
      <c r="B77" s="440" t="s">
        <v>128</v>
      </c>
      <c r="C77" s="441"/>
      <c r="D77" s="116">
        <v>0</v>
      </c>
      <c r="E77" s="255">
        <v>6400</v>
      </c>
      <c r="F77" s="260">
        <v>37</v>
      </c>
      <c r="G77" s="256">
        <f>F77*E77</f>
        <v>236800</v>
      </c>
      <c r="H77" s="257">
        <f>G77+D77</f>
        <v>236800</v>
      </c>
      <c r="I77" s="126">
        <v>271726</v>
      </c>
      <c r="J77" s="251" t="s">
        <v>258</v>
      </c>
    </row>
    <row r="78" spans="1:10" ht="12.75">
      <c r="A78" s="406"/>
      <c r="B78" s="378" t="s">
        <v>113</v>
      </c>
      <c r="C78" s="379"/>
      <c r="D78" s="386"/>
      <c r="E78" s="387"/>
      <c r="F78" s="387"/>
      <c r="G78" s="387"/>
      <c r="H78" s="388"/>
      <c r="I78" s="126"/>
      <c r="J78" s="248"/>
    </row>
    <row r="79" spans="1:10" ht="12.75">
      <c r="A79" s="406"/>
      <c r="B79" s="440" t="s">
        <v>114</v>
      </c>
      <c r="C79" s="441"/>
      <c r="D79" s="116">
        <v>200000</v>
      </c>
      <c r="E79" s="160">
        <v>0</v>
      </c>
      <c r="F79" s="113">
        <v>1</v>
      </c>
      <c r="G79" s="161">
        <f>E79*F79</f>
        <v>0</v>
      </c>
      <c r="H79" s="162">
        <f>G79+D79</f>
        <v>200000</v>
      </c>
      <c r="I79" s="126"/>
      <c r="J79" s="248"/>
    </row>
    <row r="80" spans="1:10" ht="12.75">
      <c r="A80" s="406"/>
      <c r="B80" s="440" t="s">
        <v>115</v>
      </c>
      <c r="C80" s="441"/>
      <c r="D80" s="163">
        <v>0</v>
      </c>
      <c r="E80" s="160">
        <v>0</v>
      </c>
      <c r="F80" s="113">
        <v>1</v>
      </c>
      <c r="G80" s="161">
        <f>E80*F80</f>
        <v>0</v>
      </c>
      <c r="H80" s="162">
        <f>G80+D80</f>
        <v>0</v>
      </c>
      <c r="I80" s="126"/>
      <c r="J80" s="248"/>
    </row>
    <row r="81" spans="1:10" ht="12.75">
      <c r="A81" s="406"/>
      <c r="B81" s="456" t="s">
        <v>116</v>
      </c>
      <c r="C81" s="455"/>
      <c r="D81" s="116">
        <v>60000</v>
      </c>
      <c r="E81" s="160">
        <v>0</v>
      </c>
      <c r="F81" s="113">
        <v>1</v>
      </c>
      <c r="G81" s="161">
        <f>E81*F81</f>
        <v>0</v>
      </c>
      <c r="H81" s="162">
        <f>G81+D81</f>
        <v>60000</v>
      </c>
      <c r="I81" s="126"/>
      <c r="J81" s="248"/>
    </row>
    <row r="82" spans="1:10" ht="12.75">
      <c r="A82" s="406"/>
      <c r="B82" s="442" t="s">
        <v>117</v>
      </c>
      <c r="C82" s="443"/>
      <c r="D82" s="261">
        <v>300000</v>
      </c>
      <c r="E82" s="262">
        <v>30000</v>
      </c>
      <c r="F82" s="263">
        <v>10</v>
      </c>
      <c r="G82" s="256">
        <f>E82*F82</f>
        <v>300000</v>
      </c>
      <c r="H82" s="264">
        <f>G82</f>
        <v>300000</v>
      </c>
      <c r="I82" s="126"/>
      <c r="J82" s="248"/>
    </row>
    <row r="83" spans="1:10" ht="12.75">
      <c r="A83" s="406"/>
      <c r="B83" s="378" t="s">
        <v>118</v>
      </c>
      <c r="C83" s="379"/>
      <c r="D83" s="380"/>
      <c r="E83" s="381"/>
      <c r="F83" s="381"/>
      <c r="G83" s="381"/>
      <c r="H83" s="382"/>
      <c r="I83" s="126"/>
      <c r="J83" s="248"/>
    </row>
    <row r="84" spans="1:11" ht="12.75">
      <c r="A84" s="406"/>
      <c r="B84" s="442" t="s">
        <v>119</v>
      </c>
      <c r="C84" s="443"/>
      <c r="D84" s="116">
        <v>2097619</v>
      </c>
      <c r="E84" s="160">
        <v>0</v>
      </c>
      <c r="F84" s="113">
        <v>1</v>
      </c>
      <c r="G84" s="161">
        <f>E84*F84</f>
        <v>0</v>
      </c>
      <c r="H84" s="162">
        <f>G84+D84</f>
        <v>2097619</v>
      </c>
      <c r="I84" s="126">
        <v>1323467</v>
      </c>
      <c r="J84" s="251" t="s">
        <v>259</v>
      </c>
      <c r="K84" s="253">
        <f>H84/12</f>
        <v>174801.58333333334</v>
      </c>
    </row>
    <row r="85" spans="1:10" ht="12.75">
      <c r="A85" s="406"/>
      <c r="B85" s="450" t="s">
        <v>126</v>
      </c>
      <c r="C85" s="451"/>
      <c r="D85" s="163">
        <v>0</v>
      </c>
      <c r="E85" s="160">
        <v>0</v>
      </c>
      <c r="F85" s="113">
        <v>1</v>
      </c>
      <c r="G85" s="161">
        <f>E85*F85</f>
        <v>0</v>
      </c>
      <c r="H85" s="162">
        <f>G85+D85</f>
        <v>0</v>
      </c>
      <c r="I85" s="126"/>
      <c r="J85" s="248"/>
    </row>
    <row r="86" spans="1:10" ht="12.75">
      <c r="A86" s="406"/>
      <c r="B86" s="457" t="s">
        <v>120</v>
      </c>
      <c r="C86" s="458"/>
      <c r="D86" s="164">
        <f>SUM(D87:D91)</f>
        <v>1111273</v>
      </c>
      <c r="E86" s="165">
        <f>SUM(E87:E91)</f>
        <v>0</v>
      </c>
      <c r="F86" s="166"/>
      <c r="G86" s="165">
        <f>SUM(G87:G91)</f>
        <v>0</v>
      </c>
      <c r="H86" s="167">
        <f>SUM(H87:H91)</f>
        <v>1111273</v>
      </c>
      <c r="I86" s="126"/>
      <c r="J86" s="248"/>
    </row>
    <row r="87" spans="1:10" ht="12.75">
      <c r="A87" s="406"/>
      <c r="B87" s="459" t="s">
        <v>130</v>
      </c>
      <c r="C87" s="460"/>
      <c r="D87" s="261">
        <v>613043</v>
      </c>
      <c r="E87" s="269">
        <v>0</v>
      </c>
      <c r="F87" s="263">
        <v>1</v>
      </c>
      <c r="G87" s="270">
        <f>E87*F87</f>
        <v>0</v>
      </c>
      <c r="H87" s="264">
        <f>G87+D87</f>
        <v>613043</v>
      </c>
      <c r="I87" s="126"/>
      <c r="J87" s="251" t="s">
        <v>266</v>
      </c>
    </row>
    <row r="88" spans="1:10" ht="12.75">
      <c r="A88" s="406"/>
      <c r="B88" s="459" t="s">
        <v>131</v>
      </c>
      <c r="C88" s="460"/>
      <c r="D88" s="116">
        <v>498230</v>
      </c>
      <c r="E88" s="160">
        <v>0</v>
      </c>
      <c r="F88" s="113">
        <v>1</v>
      </c>
      <c r="G88" s="161">
        <f>E88*F88</f>
        <v>0</v>
      </c>
      <c r="H88" s="162">
        <f>G88+D88</f>
        <v>498230</v>
      </c>
      <c r="I88" s="126"/>
      <c r="J88" s="248"/>
    </row>
    <row r="89" spans="1:10" ht="12.75">
      <c r="A89" s="406"/>
      <c r="B89" s="459" t="s">
        <v>132</v>
      </c>
      <c r="C89" s="460"/>
      <c r="D89" s="163">
        <v>0</v>
      </c>
      <c r="E89" s="160">
        <v>0</v>
      </c>
      <c r="F89" s="113">
        <v>1</v>
      </c>
      <c r="G89" s="161">
        <f>E89*F89</f>
        <v>0</v>
      </c>
      <c r="H89" s="162">
        <f>G89+D89</f>
        <v>0</v>
      </c>
      <c r="I89" s="126"/>
      <c r="J89" s="248"/>
    </row>
    <row r="90" spans="1:10" ht="12.75">
      <c r="A90" s="406"/>
      <c r="B90" s="459" t="s">
        <v>133</v>
      </c>
      <c r="C90" s="460"/>
      <c r="D90" s="163">
        <v>0</v>
      </c>
      <c r="E90" s="160">
        <v>0</v>
      </c>
      <c r="F90" s="113">
        <v>1</v>
      </c>
      <c r="G90" s="161">
        <f>E90*F90</f>
        <v>0</v>
      </c>
      <c r="H90" s="162">
        <f>G90+D90</f>
        <v>0</v>
      </c>
      <c r="I90" s="126"/>
      <c r="J90" s="248"/>
    </row>
    <row r="91" spans="1:10" ht="12.75">
      <c r="A91" s="406"/>
      <c r="B91" s="459" t="s">
        <v>134</v>
      </c>
      <c r="C91" s="460"/>
      <c r="D91" s="168">
        <v>0</v>
      </c>
      <c r="E91" s="169">
        <v>0</v>
      </c>
      <c r="F91" s="118">
        <v>1</v>
      </c>
      <c r="G91" s="171">
        <f>E91*F91</f>
        <v>0</v>
      </c>
      <c r="H91" s="170">
        <f>G91+D91</f>
        <v>0</v>
      </c>
      <c r="I91" s="126"/>
      <c r="J91" s="248"/>
    </row>
    <row r="92" spans="1:10" ht="13.5" thickBot="1">
      <c r="A92" s="407"/>
      <c r="B92" s="461" t="s">
        <v>45</v>
      </c>
      <c r="C92" s="462"/>
      <c r="D92" s="61">
        <f>SUM(D9,D21,D86)</f>
        <v>84229237.92223999</v>
      </c>
      <c r="E92" s="62">
        <f>SUM(E86,E21,E9)</f>
        <v>128253.82011801196</v>
      </c>
      <c r="F92" s="64"/>
      <c r="G92" s="63">
        <f>SUM(G86,G21,G9)</f>
        <v>7920486</v>
      </c>
      <c r="H92" s="130">
        <f>SUM(H86,H21,H9)</f>
        <v>93855012.25405344</v>
      </c>
      <c r="I92" s="126"/>
      <c r="J92" s="248"/>
    </row>
    <row r="93" spans="1:10" ht="15.75" customHeight="1">
      <c r="A93" s="402" t="str">
        <f>'Ap. 2 Ingresos C. Benef.'!$A$22</f>
        <v>SALA CUNA "BURBUJITA DE MAR" (NOCTURNA)</v>
      </c>
      <c r="B93" s="397" t="s">
        <v>121</v>
      </c>
      <c r="C93" s="398"/>
      <c r="D93" s="156">
        <f>SUM(D103:D104,D101,D95:D99)</f>
        <v>46876458.48615999</v>
      </c>
      <c r="E93" s="157">
        <f>SUM(E103:E104,E101,E95:E99)</f>
        <v>0</v>
      </c>
      <c r="F93" s="158"/>
      <c r="G93" s="157">
        <f>SUM(G103:G104,G101,G95:G99)</f>
        <v>0</v>
      </c>
      <c r="H93" s="159">
        <f>SUM(H103:H104,H101,H95:H99)</f>
        <v>46876458.48615999</v>
      </c>
      <c r="I93" s="126"/>
      <c r="J93" s="248"/>
    </row>
    <row r="94" spans="1:10" ht="12.75">
      <c r="A94" s="403"/>
      <c r="B94" s="378" t="s">
        <v>61</v>
      </c>
      <c r="C94" s="379"/>
      <c r="D94" s="399"/>
      <c r="E94" s="400"/>
      <c r="F94" s="400"/>
      <c r="G94" s="400"/>
      <c r="H94" s="401"/>
      <c r="I94" s="126"/>
      <c r="J94" s="248"/>
    </row>
    <row r="95" spans="1:14" ht="12.75">
      <c r="A95" s="403"/>
      <c r="B95" s="440" t="s">
        <v>62</v>
      </c>
      <c r="C95" s="441"/>
      <c r="D95" s="116">
        <f>O107</f>
        <v>40723164.21599999</v>
      </c>
      <c r="E95" s="160">
        <v>0</v>
      </c>
      <c r="F95" s="113">
        <v>1</v>
      </c>
      <c r="G95" s="161">
        <f>E95*F95</f>
        <v>0</v>
      </c>
      <c r="H95" s="162">
        <f>G95+D95</f>
        <v>40723164.21599999</v>
      </c>
      <c r="I95" s="126"/>
      <c r="J95" s="248"/>
      <c r="K95" s="112">
        <f>+D95+D96</f>
        <v>42951722.84399999</v>
      </c>
      <c r="M95" s="112">
        <v>48078766</v>
      </c>
      <c r="N95" s="112">
        <f>+K95-M95</f>
        <v>-5127043.156000011</v>
      </c>
    </row>
    <row r="96" spans="1:10" ht="12.75">
      <c r="A96" s="403"/>
      <c r="B96" s="440" t="s">
        <v>63</v>
      </c>
      <c r="C96" s="441"/>
      <c r="D96" s="116">
        <f>'[2]REMUN. BASE  AREA EDUC.'!$L$39</f>
        <v>2228558.628</v>
      </c>
      <c r="E96" s="160">
        <v>0</v>
      </c>
      <c r="F96" s="113">
        <v>1</v>
      </c>
      <c r="G96" s="161">
        <f>E96*F96</f>
        <v>0</v>
      </c>
      <c r="H96" s="162">
        <f>G96+D96</f>
        <v>2228558.628</v>
      </c>
      <c r="I96" s="126"/>
      <c r="J96" s="248"/>
    </row>
    <row r="97" spans="1:10" ht="12.75">
      <c r="A97" s="403"/>
      <c r="B97" s="442" t="s">
        <v>262</v>
      </c>
      <c r="C97" s="443"/>
      <c r="D97" s="116">
        <f>R99</f>
        <v>2571760</v>
      </c>
      <c r="E97" s="160">
        <v>0</v>
      </c>
      <c r="F97" s="113">
        <v>1</v>
      </c>
      <c r="G97" s="161">
        <f>E97*F97</f>
        <v>0</v>
      </c>
      <c r="H97" s="162">
        <f>G97+D97</f>
        <v>2571760</v>
      </c>
      <c r="I97" s="126"/>
      <c r="J97" s="248"/>
    </row>
    <row r="98" spans="1:15" ht="12.75">
      <c r="A98" s="403"/>
      <c r="B98" s="440" t="s">
        <v>65</v>
      </c>
      <c r="C98" s="441"/>
      <c r="D98" s="116">
        <f>R104</f>
        <v>945743.9999999999</v>
      </c>
      <c r="E98" s="160">
        <v>0</v>
      </c>
      <c r="F98" s="113">
        <v>1</v>
      </c>
      <c r="G98" s="161">
        <f>E98*F98</f>
        <v>0</v>
      </c>
      <c r="H98" s="162">
        <f>G98+D98</f>
        <v>945743.9999999999</v>
      </c>
      <c r="I98" s="126"/>
      <c r="J98" s="248"/>
      <c r="O98" s="233">
        <f>SUM(N100:N103)</f>
        <v>8</v>
      </c>
    </row>
    <row r="99" spans="1:18" ht="12.75" customHeight="1">
      <c r="A99" s="403"/>
      <c r="B99" s="440" t="s">
        <v>136</v>
      </c>
      <c r="C99" s="441"/>
      <c r="D99" s="116">
        <v>0</v>
      </c>
      <c r="E99" s="160">
        <v>0</v>
      </c>
      <c r="F99" s="113">
        <v>1</v>
      </c>
      <c r="G99" s="161">
        <f>E99*F99</f>
        <v>0</v>
      </c>
      <c r="H99" s="162">
        <f>G99+D99</f>
        <v>0</v>
      </c>
      <c r="I99" s="126"/>
      <c r="J99" s="248"/>
      <c r="M99" s="373" t="s">
        <v>242</v>
      </c>
      <c r="N99" s="374"/>
      <c r="O99" s="375"/>
      <c r="Q99" s="247" t="s">
        <v>253</v>
      </c>
      <c r="R99" s="234">
        <f>'[2]REMUN. BASE  AREA EDUC.'!$N$39</f>
        <v>2571760</v>
      </c>
    </row>
    <row r="100" spans="1:15" ht="12.75" customHeight="1">
      <c r="A100" s="403"/>
      <c r="B100" s="378" t="s">
        <v>66</v>
      </c>
      <c r="C100" s="379"/>
      <c r="D100" s="386"/>
      <c r="E100" s="387"/>
      <c r="F100" s="387"/>
      <c r="G100" s="387"/>
      <c r="H100" s="388"/>
      <c r="I100" s="126"/>
      <c r="J100" s="248"/>
      <c r="M100" s="222" t="s">
        <v>243</v>
      </c>
      <c r="N100" s="235">
        <v>4</v>
      </c>
      <c r="O100" s="236">
        <f>SUM('[2]REMUN. BASE  AREA EDUC.'!$I$30:$I$33)</f>
        <v>2071440.6839999997</v>
      </c>
    </row>
    <row r="101" spans="1:18" ht="12.75" customHeight="1">
      <c r="A101" s="403"/>
      <c r="B101" s="440" t="s">
        <v>67</v>
      </c>
      <c r="C101" s="441"/>
      <c r="D101" s="116">
        <f>D95/100</f>
        <v>407231.64215999993</v>
      </c>
      <c r="E101" s="117"/>
      <c r="F101" s="113">
        <v>1</v>
      </c>
      <c r="G101" s="161">
        <f>E101*F101</f>
        <v>0</v>
      </c>
      <c r="H101" s="162">
        <f>G101+D101</f>
        <v>407231.64215999993</v>
      </c>
      <c r="I101" s="126"/>
      <c r="J101" s="248"/>
      <c r="M101" s="222" t="s">
        <v>244</v>
      </c>
      <c r="N101" s="235">
        <v>4</v>
      </c>
      <c r="O101" s="236">
        <f>SUM('[2]REMUN. BASE  AREA EDUC.'!$I$34:$I$37)</f>
        <v>1322156.3339999998</v>
      </c>
      <c r="Q101" s="376" t="s">
        <v>261</v>
      </c>
      <c r="R101" s="377"/>
    </row>
    <row r="102" spans="1:18" ht="12.75" customHeight="1">
      <c r="A102" s="403"/>
      <c r="B102" s="378" t="s">
        <v>68</v>
      </c>
      <c r="C102" s="379"/>
      <c r="D102" s="386"/>
      <c r="E102" s="387"/>
      <c r="F102" s="387"/>
      <c r="G102" s="387"/>
      <c r="H102" s="388"/>
      <c r="I102" s="126"/>
      <c r="J102" s="248"/>
      <c r="M102" s="222" t="s">
        <v>246</v>
      </c>
      <c r="N102" s="235">
        <v>0</v>
      </c>
      <c r="O102" s="237">
        <v>0</v>
      </c>
      <c r="Q102" s="225" t="s">
        <v>273</v>
      </c>
      <c r="R102" s="238">
        <f>'[2]REMUN. BASE  AREA EDUC.'!$M$39</f>
        <v>945743.9999999999</v>
      </c>
    </row>
    <row r="103" spans="1:18" ht="12.75" customHeight="1">
      <c r="A103" s="403"/>
      <c r="B103" s="445" t="s">
        <v>69</v>
      </c>
      <c r="C103" s="446"/>
      <c r="D103" s="116">
        <v>0</v>
      </c>
      <c r="E103" s="160">
        <v>0</v>
      </c>
      <c r="F103" s="113">
        <v>1</v>
      </c>
      <c r="G103" s="161">
        <f>E103*F103</f>
        <v>0</v>
      </c>
      <c r="H103" s="162">
        <f>G103+D103</f>
        <v>0</v>
      </c>
      <c r="I103" s="126"/>
      <c r="J103" s="248"/>
      <c r="M103" s="222" t="s">
        <v>247</v>
      </c>
      <c r="N103" s="235">
        <v>0</v>
      </c>
      <c r="O103" s="236"/>
      <c r="Q103" s="225" t="s">
        <v>248</v>
      </c>
      <c r="R103" s="238">
        <f>'[1]SUELDOS'!AD93*'[1]Ap. 3 Costos Directos'!N98</f>
        <v>0</v>
      </c>
    </row>
    <row r="104" spans="1:18" ht="12.75" customHeight="1">
      <c r="A104" s="403"/>
      <c r="B104" s="447" t="s">
        <v>70</v>
      </c>
      <c r="C104" s="446"/>
      <c r="D104" s="163">
        <v>0</v>
      </c>
      <c r="E104" s="160">
        <v>0</v>
      </c>
      <c r="F104" s="113">
        <v>1</v>
      </c>
      <c r="G104" s="161">
        <f>E104*F104</f>
        <v>0</v>
      </c>
      <c r="H104" s="162">
        <f>G104+D104</f>
        <v>0</v>
      </c>
      <c r="I104" s="126"/>
      <c r="J104" s="248"/>
      <c r="M104" s="239" t="s">
        <v>249</v>
      </c>
      <c r="N104" s="240"/>
      <c r="O104" s="241">
        <f>SUM(O100:O103)</f>
        <v>3393597.017999999</v>
      </c>
      <c r="Q104" s="234" t="s">
        <v>191</v>
      </c>
      <c r="R104" s="242">
        <f>SUM(R102:R103)</f>
        <v>945743.9999999999</v>
      </c>
    </row>
    <row r="105" spans="1:15" ht="12.75" customHeight="1">
      <c r="A105" s="403"/>
      <c r="B105" s="392" t="s">
        <v>71</v>
      </c>
      <c r="C105" s="393"/>
      <c r="D105" s="164">
        <f>SUM(D107:D108,D110:D112,D114:D115,D117:D128,D130:D138,D140:D146,D148:D150,D152:D157,D159:D160,D162:D165,D167:D168)</f>
        <v>1806000</v>
      </c>
      <c r="E105" s="165">
        <f>SUM(E107:E108,E110:E112,E114:E115,E117:E128,E130:E138,E140:E146,E148:E150,E152:E157,E159:E160,E162:E165,E167:E168)</f>
        <v>26153.820118011958</v>
      </c>
      <c r="F105" s="166"/>
      <c r="G105" s="165">
        <f>SUM(G107:G108,G110:G112,G114:G115,G117:G128,G130:G138,G140:G146,G148:G150,G152:G157,G159:G160,G162:G165,G167:G168)</f>
        <v>2542596.637264574</v>
      </c>
      <c r="H105" s="167">
        <f>SUM(H107:H108,H110:H112,H114:H115,H117:H128,H130:H138,H140:H146,H148:H150,H152:H157,H159:H160,H162:H165,H167:H168)</f>
        <v>4348596.637264574</v>
      </c>
      <c r="I105" s="126"/>
      <c r="J105" s="248"/>
      <c r="M105" s="239" t="s">
        <v>250</v>
      </c>
      <c r="N105" s="243"/>
      <c r="O105" s="444">
        <f>O104*12</f>
        <v>40723164.21599999</v>
      </c>
    </row>
    <row r="106" spans="1:15" ht="12.75" customHeight="1">
      <c r="A106" s="403"/>
      <c r="B106" s="448" t="s">
        <v>72</v>
      </c>
      <c r="C106" s="449"/>
      <c r="D106" s="386"/>
      <c r="E106" s="387"/>
      <c r="F106" s="387"/>
      <c r="G106" s="387"/>
      <c r="H106" s="388"/>
      <c r="I106" s="126"/>
      <c r="J106" s="248"/>
      <c r="M106" s="239" t="s">
        <v>251</v>
      </c>
      <c r="N106" s="240"/>
      <c r="O106" s="244"/>
    </row>
    <row r="107" spans="1:15" ht="12.75" customHeight="1">
      <c r="A107" s="403"/>
      <c r="B107" s="442" t="s">
        <v>73</v>
      </c>
      <c r="C107" s="443"/>
      <c r="D107" s="163">
        <v>0</v>
      </c>
      <c r="E107" s="117">
        <v>0</v>
      </c>
      <c r="F107" s="113">
        <v>1</v>
      </c>
      <c r="G107" s="161">
        <f>E107*F107</f>
        <v>0</v>
      </c>
      <c r="H107" s="162">
        <f>G107+D107</f>
        <v>0</v>
      </c>
      <c r="I107" s="126"/>
      <c r="J107" s="248"/>
      <c r="M107" s="245" t="s">
        <v>252</v>
      </c>
      <c r="N107" s="246"/>
      <c r="O107" s="242">
        <f>O105</f>
        <v>40723164.21599999</v>
      </c>
    </row>
    <row r="108" spans="1:10" ht="12.75" customHeight="1">
      <c r="A108" s="403"/>
      <c r="B108" s="450" t="s">
        <v>123</v>
      </c>
      <c r="C108" s="451"/>
      <c r="D108" s="163">
        <v>0</v>
      </c>
      <c r="E108" s="117">
        <f>+M31</f>
        <v>148.82011801195813</v>
      </c>
      <c r="F108" s="463">
        <f>O118</f>
        <v>5400</v>
      </c>
      <c r="G108" s="161">
        <f>E108*F108</f>
        <v>803628.637264574</v>
      </c>
      <c r="H108" s="162">
        <f>G108+D108</f>
        <v>803628.637264574</v>
      </c>
      <c r="I108" s="126"/>
      <c r="J108" s="248"/>
    </row>
    <row r="109" spans="1:14" ht="12.75" customHeight="1">
      <c r="A109" s="403"/>
      <c r="B109" s="448" t="s">
        <v>74</v>
      </c>
      <c r="C109" s="449"/>
      <c r="D109" s="386"/>
      <c r="E109" s="387"/>
      <c r="F109" s="387"/>
      <c r="G109" s="387"/>
      <c r="H109" s="388"/>
      <c r="I109" s="126"/>
      <c r="J109" s="248"/>
      <c r="M109" s="4"/>
      <c r="N109" s="4"/>
    </row>
    <row r="110" spans="1:10" ht="12.75" customHeight="1">
      <c r="A110" s="403"/>
      <c r="B110" s="440" t="s">
        <v>122</v>
      </c>
      <c r="C110" s="441"/>
      <c r="D110" s="163">
        <v>0</v>
      </c>
      <c r="E110" s="160">
        <v>0</v>
      </c>
      <c r="F110" s="113">
        <v>1</v>
      </c>
      <c r="G110" s="161">
        <f>E110*F110</f>
        <v>0</v>
      </c>
      <c r="H110" s="162">
        <f>G110+D110</f>
        <v>0</v>
      </c>
      <c r="I110" s="126"/>
      <c r="J110" s="248"/>
    </row>
    <row r="111" spans="1:11" ht="12.75" customHeight="1">
      <c r="A111" s="403"/>
      <c r="B111" s="440" t="s">
        <v>75</v>
      </c>
      <c r="C111" s="441"/>
      <c r="D111" s="163">
        <v>0</v>
      </c>
      <c r="E111" s="255">
        <v>25000</v>
      </c>
      <c r="F111" s="260">
        <v>8</v>
      </c>
      <c r="G111" s="256">
        <f>E111*F111</f>
        <v>200000</v>
      </c>
      <c r="H111" s="257">
        <f>G111+D111</f>
        <v>200000</v>
      </c>
      <c r="I111" s="265"/>
      <c r="J111" s="251" t="s">
        <v>264</v>
      </c>
      <c r="K111" s="252"/>
    </row>
    <row r="112" spans="1:10" ht="13.5" customHeight="1">
      <c r="A112" s="403"/>
      <c r="B112" s="440" t="s">
        <v>76</v>
      </c>
      <c r="C112" s="441"/>
      <c r="D112" s="163">
        <v>0</v>
      </c>
      <c r="E112" s="117">
        <v>0</v>
      </c>
      <c r="F112" s="113">
        <v>1</v>
      </c>
      <c r="G112" s="161">
        <f>E112*F112</f>
        <v>0</v>
      </c>
      <c r="H112" s="162">
        <f>G112+D112</f>
        <v>0</v>
      </c>
      <c r="I112" s="126"/>
      <c r="J112" s="248"/>
    </row>
    <row r="113" spans="1:10" ht="12.75" customHeight="1">
      <c r="A113" s="403"/>
      <c r="B113" s="448" t="s">
        <v>77</v>
      </c>
      <c r="C113" s="449"/>
      <c r="D113" s="389"/>
      <c r="E113" s="390"/>
      <c r="F113" s="390"/>
      <c r="G113" s="390"/>
      <c r="H113" s="391"/>
      <c r="I113" s="126"/>
      <c r="J113" s="248"/>
    </row>
    <row r="114" spans="1:10" ht="12.75" customHeight="1">
      <c r="A114" s="403"/>
      <c r="B114" s="442" t="s">
        <v>78</v>
      </c>
      <c r="C114" s="443"/>
      <c r="D114" s="116">
        <v>1100000</v>
      </c>
      <c r="E114" s="160">
        <v>0</v>
      </c>
      <c r="F114" s="113">
        <v>1</v>
      </c>
      <c r="G114" s="161">
        <f>E114*F114</f>
        <v>0</v>
      </c>
      <c r="H114" s="162">
        <f>G114+D114</f>
        <v>1100000</v>
      </c>
      <c r="I114" s="126"/>
      <c r="J114" s="258">
        <f>H114/12</f>
        <v>91666.66666666667</v>
      </c>
    </row>
    <row r="115" spans="1:16" ht="12.75">
      <c r="A115" s="403"/>
      <c r="B115" s="440" t="s">
        <v>79</v>
      </c>
      <c r="C115" s="441"/>
      <c r="D115" s="163">
        <v>0</v>
      </c>
      <c r="E115" s="117">
        <v>0</v>
      </c>
      <c r="F115" s="113">
        <v>1</v>
      </c>
      <c r="G115" s="161">
        <f>E115*F115</f>
        <v>0</v>
      </c>
      <c r="H115" s="162">
        <f>G115+D115</f>
        <v>0</v>
      </c>
      <c r="I115" s="126"/>
      <c r="J115" s="248"/>
      <c r="M115" s="221" t="s">
        <v>229</v>
      </c>
      <c r="N115" s="222" t="s">
        <v>222</v>
      </c>
      <c r="O115" s="222" t="s">
        <v>227</v>
      </c>
      <c r="P115" s="222"/>
    </row>
    <row r="116" spans="1:16" ht="12.75">
      <c r="A116" s="403"/>
      <c r="B116" s="448" t="s">
        <v>80</v>
      </c>
      <c r="C116" s="449"/>
      <c r="D116" s="386"/>
      <c r="E116" s="387"/>
      <c r="F116" s="387"/>
      <c r="G116" s="387"/>
      <c r="H116" s="388"/>
      <c r="I116" s="126"/>
      <c r="J116" s="248"/>
      <c r="M116" s="223" t="s">
        <v>221</v>
      </c>
      <c r="N116" s="222" t="s">
        <v>283</v>
      </c>
      <c r="O116" s="222" t="s">
        <v>225</v>
      </c>
      <c r="P116" s="222"/>
    </row>
    <row r="117" spans="1:16" ht="12.75">
      <c r="A117" s="403"/>
      <c r="B117" s="442" t="s">
        <v>135</v>
      </c>
      <c r="C117" s="443"/>
      <c r="D117" s="163">
        <v>0</v>
      </c>
      <c r="E117" s="160">
        <v>0</v>
      </c>
      <c r="F117" s="113">
        <v>1</v>
      </c>
      <c r="G117" s="161">
        <f>E117*F117</f>
        <v>0</v>
      </c>
      <c r="H117" s="162">
        <f>G117+D117</f>
        <v>0</v>
      </c>
      <c r="I117" s="126"/>
      <c r="J117" s="248"/>
      <c r="M117" s="229">
        <f>+M118*M119</f>
        <v>0</v>
      </c>
      <c r="N117" s="222"/>
      <c r="O117" s="222"/>
      <c r="P117" s="222"/>
    </row>
    <row r="118" spans="1:16" ht="12.75">
      <c r="A118" s="403"/>
      <c r="B118" s="442" t="s">
        <v>81</v>
      </c>
      <c r="C118" s="443"/>
      <c r="D118" s="163">
        <v>0</v>
      </c>
      <c r="E118" s="160">
        <v>0</v>
      </c>
      <c r="F118" s="113">
        <v>1</v>
      </c>
      <c r="G118" s="161">
        <f aca="true" t="shared" si="8" ref="G118:G128">E118*F118</f>
        <v>0</v>
      </c>
      <c r="H118" s="162">
        <f aca="true" t="shared" si="9" ref="H118:H128">G118+D118</f>
        <v>0</v>
      </c>
      <c r="I118" s="126"/>
      <c r="J118" s="248"/>
      <c r="M118" s="225">
        <f>+N118+O118</f>
        <v>33372</v>
      </c>
      <c r="N118" s="226">
        <f>37*3*21*12</f>
        <v>27972</v>
      </c>
      <c r="O118" s="233">
        <f>9*2*25*12</f>
        <v>5400</v>
      </c>
      <c r="P118" s="222"/>
    </row>
    <row r="119" spans="1:16" ht="12.75">
      <c r="A119" s="403"/>
      <c r="B119" s="450" t="s">
        <v>138</v>
      </c>
      <c r="C119" s="451"/>
      <c r="D119" s="163">
        <v>0</v>
      </c>
      <c r="E119" s="160">
        <v>0</v>
      </c>
      <c r="F119" s="113">
        <v>1</v>
      </c>
      <c r="G119" s="161">
        <f t="shared" si="8"/>
        <v>0</v>
      </c>
      <c r="H119" s="162">
        <f t="shared" si="9"/>
        <v>0</v>
      </c>
      <c r="I119" s="126"/>
      <c r="J119" s="248"/>
      <c r="M119" s="228">
        <f>+M113*1.037</f>
        <v>0</v>
      </c>
      <c r="N119" s="224"/>
      <c r="O119" s="222"/>
      <c r="P119" s="222"/>
    </row>
    <row r="120" spans="1:10" ht="12.75">
      <c r="A120" s="403"/>
      <c r="B120" s="442" t="s">
        <v>82</v>
      </c>
      <c r="C120" s="443"/>
      <c r="D120" s="163">
        <v>0</v>
      </c>
      <c r="E120" s="160">
        <v>0</v>
      </c>
      <c r="F120" s="113">
        <v>1</v>
      </c>
      <c r="G120" s="161">
        <f t="shared" si="8"/>
        <v>0</v>
      </c>
      <c r="H120" s="162">
        <f t="shared" si="9"/>
        <v>0</v>
      </c>
      <c r="I120" s="126"/>
      <c r="J120" s="248"/>
    </row>
    <row r="121" spans="1:10" ht="12.75">
      <c r="A121" s="403"/>
      <c r="B121" s="442" t="s">
        <v>83</v>
      </c>
      <c r="C121" s="443"/>
      <c r="D121" s="163">
        <v>0</v>
      </c>
      <c r="E121" s="160">
        <v>0</v>
      </c>
      <c r="F121" s="113">
        <v>1</v>
      </c>
      <c r="G121" s="161">
        <f t="shared" si="8"/>
        <v>0</v>
      </c>
      <c r="H121" s="162">
        <f t="shared" si="9"/>
        <v>0</v>
      </c>
      <c r="I121" s="126"/>
      <c r="J121" s="248"/>
    </row>
    <row r="122" spans="1:10" ht="12.75">
      <c r="A122" s="403"/>
      <c r="B122" s="450" t="s">
        <v>84</v>
      </c>
      <c r="C122" s="451"/>
      <c r="D122" s="163">
        <v>0</v>
      </c>
      <c r="E122" s="160">
        <v>0</v>
      </c>
      <c r="F122" s="113">
        <v>1</v>
      </c>
      <c r="G122" s="161">
        <f t="shared" si="8"/>
        <v>0</v>
      </c>
      <c r="H122" s="162">
        <f t="shared" si="9"/>
        <v>0</v>
      </c>
      <c r="I122" s="126"/>
      <c r="J122" s="248"/>
    </row>
    <row r="123" spans="1:10" ht="12.75">
      <c r="A123" s="403"/>
      <c r="B123" s="442" t="s">
        <v>124</v>
      </c>
      <c r="C123" s="443"/>
      <c r="D123" s="163">
        <v>0</v>
      </c>
      <c r="E123" s="160">
        <v>0</v>
      </c>
      <c r="F123" s="113">
        <v>1</v>
      </c>
      <c r="G123" s="161">
        <f t="shared" si="8"/>
        <v>0</v>
      </c>
      <c r="H123" s="162">
        <f t="shared" si="9"/>
        <v>0</v>
      </c>
      <c r="I123" s="126"/>
      <c r="J123" s="248"/>
    </row>
    <row r="124" spans="1:10" ht="12.75">
      <c r="A124" s="403"/>
      <c r="B124" s="442" t="s">
        <v>129</v>
      </c>
      <c r="C124" s="443"/>
      <c r="D124" s="163">
        <v>0</v>
      </c>
      <c r="E124" s="160">
        <v>0</v>
      </c>
      <c r="F124" s="113">
        <v>1</v>
      </c>
      <c r="G124" s="161">
        <f t="shared" si="8"/>
        <v>0</v>
      </c>
      <c r="H124" s="162">
        <f t="shared" si="9"/>
        <v>0</v>
      </c>
      <c r="I124" s="126"/>
      <c r="J124" s="248"/>
    </row>
    <row r="125" spans="1:10" ht="12.75">
      <c r="A125" s="403"/>
      <c r="B125" s="442" t="s">
        <v>85</v>
      </c>
      <c r="C125" s="443"/>
      <c r="D125" s="116">
        <v>591000</v>
      </c>
      <c r="E125" s="160">
        <v>0</v>
      </c>
      <c r="F125" s="113">
        <v>1</v>
      </c>
      <c r="G125" s="161">
        <f t="shared" si="8"/>
        <v>0</v>
      </c>
      <c r="H125" s="162">
        <f t="shared" si="9"/>
        <v>591000</v>
      </c>
      <c r="I125" s="126"/>
      <c r="J125" s="251"/>
    </row>
    <row r="126" spans="1:10" ht="12.75">
      <c r="A126" s="403"/>
      <c r="B126" s="442" t="s">
        <v>86</v>
      </c>
      <c r="C126" s="443"/>
      <c r="D126" s="163">
        <v>0</v>
      </c>
      <c r="E126" s="160">
        <v>0</v>
      </c>
      <c r="F126" s="113">
        <v>1</v>
      </c>
      <c r="G126" s="161">
        <f t="shared" si="8"/>
        <v>0</v>
      </c>
      <c r="H126" s="162">
        <f t="shared" si="9"/>
        <v>0</v>
      </c>
      <c r="I126" s="126"/>
      <c r="J126" s="248"/>
    </row>
    <row r="127" spans="1:10" ht="12.75">
      <c r="A127" s="403"/>
      <c r="B127" s="442" t="s">
        <v>87</v>
      </c>
      <c r="C127" s="443"/>
      <c r="D127" s="163">
        <v>0</v>
      </c>
      <c r="E127" s="160">
        <v>0</v>
      </c>
      <c r="F127" s="113">
        <v>1</v>
      </c>
      <c r="G127" s="161">
        <f t="shared" si="8"/>
        <v>0</v>
      </c>
      <c r="H127" s="162">
        <f t="shared" si="9"/>
        <v>0</v>
      </c>
      <c r="I127" s="126"/>
      <c r="J127" s="248"/>
    </row>
    <row r="128" spans="1:10" ht="12.75">
      <c r="A128" s="403"/>
      <c r="B128" s="442" t="s">
        <v>125</v>
      </c>
      <c r="C128" s="443"/>
      <c r="D128" s="163">
        <v>0</v>
      </c>
      <c r="E128" s="160">
        <v>0</v>
      </c>
      <c r="F128" s="113">
        <v>1</v>
      </c>
      <c r="G128" s="161">
        <f t="shared" si="8"/>
        <v>0</v>
      </c>
      <c r="H128" s="162">
        <f t="shared" si="9"/>
        <v>0</v>
      </c>
      <c r="I128" s="126"/>
      <c r="J128" s="248"/>
    </row>
    <row r="129" spans="1:10" s="4" customFormat="1" ht="12.75">
      <c r="A129" s="403"/>
      <c r="B129" s="448" t="s">
        <v>88</v>
      </c>
      <c r="C129" s="449"/>
      <c r="D129" s="386"/>
      <c r="E129" s="387"/>
      <c r="F129" s="387"/>
      <c r="G129" s="387"/>
      <c r="H129" s="388"/>
      <c r="I129" s="128"/>
      <c r="J129" s="250"/>
    </row>
    <row r="130" spans="1:10" s="4" customFormat="1" ht="12.75">
      <c r="A130" s="403"/>
      <c r="B130" s="440" t="s">
        <v>137</v>
      </c>
      <c r="C130" s="441"/>
      <c r="D130" s="116">
        <v>0</v>
      </c>
      <c r="E130" s="117">
        <v>122</v>
      </c>
      <c r="F130" s="113">
        <v>5544</v>
      </c>
      <c r="G130" s="161">
        <f>E130*F130</f>
        <v>676368</v>
      </c>
      <c r="H130" s="162">
        <f>G130+D130</f>
        <v>676368</v>
      </c>
      <c r="I130" s="128"/>
      <c r="J130" s="268" t="s">
        <v>265</v>
      </c>
    </row>
    <row r="131" spans="1:10" ht="12.75">
      <c r="A131" s="403"/>
      <c r="B131" s="440" t="s">
        <v>42</v>
      </c>
      <c r="C131" s="441"/>
      <c r="D131" s="116">
        <v>0</v>
      </c>
      <c r="E131" s="117">
        <v>441</v>
      </c>
      <c r="F131" s="113">
        <v>184</v>
      </c>
      <c r="G131" s="161">
        <f aca="true" t="shared" si="10" ref="G131:G138">E131*F131</f>
        <v>81144</v>
      </c>
      <c r="H131" s="162">
        <f aca="true" t="shared" si="11" ref="H131:H138">G131+D131</f>
        <v>81144</v>
      </c>
      <c r="I131" s="126"/>
      <c r="J131" s="268" t="s">
        <v>265</v>
      </c>
    </row>
    <row r="132" spans="1:10" ht="12.75">
      <c r="A132" s="403"/>
      <c r="B132" s="440" t="s">
        <v>43</v>
      </c>
      <c r="C132" s="441"/>
      <c r="D132" s="116">
        <v>15000</v>
      </c>
      <c r="E132" s="117">
        <v>442</v>
      </c>
      <c r="F132" s="113">
        <v>1768</v>
      </c>
      <c r="G132" s="161">
        <f t="shared" si="10"/>
        <v>781456</v>
      </c>
      <c r="H132" s="162">
        <f t="shared" si="11"/>
        <v>796456</v>
      </c>
      <c r="I132" s="126"/>
      <c r="J132" s="268" t="s">
        <v>265</v>
      </c>
    </row>
    <row r="133" spans="1:10" ht="12.75">
      <c r="A133" s="403"/>
      <c r="B133" s="440" t="s">
        <v>89</v>
      </c>
      <c r="C133" s="441"/>
      <c r="D133" s="116">
        <v>0</v>
      </c>
      <c r="E133" s="117">
        <v>0</v>
      </c>
      <c r="F133" s="113">
        <v>1</v>
      </c>
      <c r="G133" s="161">
        <f t="shared" si="10"/>
        <v>0</v>
      </c>
      <c r="H133" s="162">
        <f t="shared" si="11"/>
        <v>0</v>
      </c>
      <c r="I133" s="126"/>
      <c r="J133" s="248"/>
    </row>
    <row r="134" spans="1:10" ht="12.75">
      <c r="A134" s="403"/>
      <c r="B134" s="440" t="s">
        <v>90</v>
      </c>
      <c r="C134" s="441"/>
      <c r="D134" s="116">
        <v>0</v>
      </c>
      <c r="E134" s="117">
        <v>0</v>
      </c>
      <c r="F134" s="113">
        <v>1</v>
      </c>
      <c r="G134" s="161">
        <f t="shared" si="10"/>
        <v>0</v>
      </c>
      <c r="H134" s="162">
        <f t="shared" si="11"/>
        <v>0</v>
      </c>
      <c r="I134" s="126"/>
      <c r="J134" s="248"/>
    </row>
    <row r="135" spans="1:10" ht="12.75">
      <c r="A135" s="403"/>
      <c r="B135" s="440" t="s">
        <v>91</v>
      </c>
      <c r="C135" s="441"/>
      <c r="D135" s="116">
        <v>100000</v>
      </c>
      <c r="E135" s="117">
        <v>0</v>
      </c>
      <c r="F135" s="113">
        <v>1</v>
      </c>
      <c r="G135" s="161">
        <f t="shared" si="10"/>
        <v>0</v>
      </c>
      <c r="H135" s="162">
        <f t="shared" si="11"/>
        <v>100000</v>
      </c>
      <c r="I135" s="126"/>
      <c r="J135" s="248"/>
    </row>
    <row r="136" spans="1:10" ht="12.75">
      <c r="A136" s="403"/>
      <c r="B136" s="440" t="s">
        <v>92</v>
      </c>
      <c r="C136" s="441"/>
      <c r="D136" s="116">
        <v>0</v>
      </c>
      <c r="E136" s="117">
        <v>0</v>
      </c>
      <c r="F136" s="113">
        <v>1</v>
      </c>
      <c r="G136" s="161">
        <f t="shared" si="10"/>
        <v>0</v>
      </c>
      <c r="H136" s="162">
        <f t="shared" si="11"/>
        <v>0</v>
      </c>
      <c r="I136" s="126"/>
      <c r="J136" s="248"/>
    </row>
    <row r="137" spans="1:10" ht="12.75">
      <c r="A137" s="403"/>
      <c r="B137" s="440" t="s">
        <v>93</v>
      </c>
      <c r="C137" s="441"/>
      <c r="D137" s="163">
        <v>0</v>
      </c>
      <c r="E137" s="160">
        <v>0</v>
      </c>
      <c r="F137" s="113">
        <v>1</v>
      </c>
      <c r="G137" s="161">
        <f t="shared" si="10"/>
        <v>0</v>
      </c>
      <c r="H137" s="162">
        <f t="shared" si="11"/>
        <v>0</v>
      </c>
      <c r="I137" s="126"/>
      <c r="J137" s="248"/>
    </row>
    <row r="138" spans="1:10" ht="12.75">
      <c r="A138" s="403"/>
      <c r="B138" s="440" t="s">
        <v>94</v>
      </c>
      <c r="C138" s="441"/>
      <c r="D138" s="163">
        <v>0</v>
      </c>
      <c r="E138" s="160">
        <v>0</v>
      </c>
      <c r="F138" s="113">
        <v>1</v>
      </c>
      <c r="G138" s="161">
        <f t="shared" si="10"/>
        <v>0</v>
      </c>
      <c r="H138" s="162">
        <f t="shared" si="11"/>
        <v>0</v>
      </c>
      <c r="I138" s="126"/>
      <c r="J138" s="248"/>
    </row>
    <row r="139" spans="1:10" ht="12.75">
      <c r="A139" s="403"/>
      <c r="B139" s="378" t="s">
        <v>95</v>
      </c>
      <c r="C139" s="379"/>
      <c r="D139" s="386"/>
      <c r="E139" s="387"/>
      <c r="F139" s="387"/>
      <c r="G139" s="387"/>
      <c r="H139" s="388"/>
      <c r="I139" s="126"/>
      <c r="J139" s="248"/>
    </row>
    <row r="140" spans="1:10" ht="12.75">
      <c r="A140" s="403"/>
      <c r="B140" s="442" t="s">
        <v>96</v>
      </c>
      <c r="C140" s="443"/>
      <c r="D140" s="163">
        <v>0</v>
      </c>
      <c r="E140" s="160">
        <v>0</v>
      </c>
      <c r="F140" s="113">
        <v>1</v>
      </c>
      <c r="G140" s="161">
        <f>E140*F140</f>
        <v>0</v>
      </c>
      <c r="H140" s="162">
        <f aca="true" t="shared" si="12" ref="H140:H146">G140+D140</f>
        <v>0</v>
      </c>
      <c r="I140" s="126"/>
      <c r="J140" s="248"/>
    </row>
    <row r="141" spans="1:10" ht="12.75">
      <c r="A141" s="403"/>
      <c r="B141" s="442" t="s">
        <v>97</v>
      </c>
      <c r="C141" s="443"/>
      <c r="D141" s="163">
        <v>0</v>
      </c>
      <c r="E141" s="160">
        <v>0</v>
      </c>
      <c r="F141" s="113">
        <v>1</v>
      </c>
      <c r="G141" s="161">
        <f aca="true" t="shared" si="13" ref="G141:G146">E141*F141</f>
        <v>0</v>
      </c>
      <c r="H141" s="162">
        <f t="shared" si="12"/>
        <v>0</v>
      </c>
      <c r="I141" s="126"/>
      <c r="J141" s="248"/>
    </row>
    <row r="142" spans="1:10" ht="12.75">
      <c r="A142" s="403"/>
      <c r="B142" s="442" t="s">
        <v>98</v>
      </c>
      <c r="C142" s="443"/>
      <c r="D142" s="163">
        <v>0</v>
      </c>
      <c r="E142" s="160">
        <v>0</v>
      </c>
      <c r="F142" s="113">
        <v>1</v>
      </c>
      <c r="G142" s="161">
        <f t="shared" si="13"/>
        <v>0</v>
      </c>
      <c r="H142" s="162">
        <f t="shared" si="12"/>
        <v>0</v>
      </c>
      <c r="I142" s="126"/>
      <c r="J142" s="248"/>
    </row>
    <row r="143" spans="1:10" ht="12.75">
      <c r="A143" s="403"/>
      <c r="B143" s="442" t="s">
        <v>99</v>
      </c>
      <c r="C143" s="443"/>
      <c r="D143" s="163">
        <v>0</v>
      </c>
      <c r="E143" s="160">
        <v>0</v>
      </c>
      <c r="F143" s="113">
        <v>1</v>
      </c>
      <c r="G143" s="161">
        <f t="shared" si="13"/>
        <v>0</v>
      </c>
      <c r="H143" s="162">
        <f t="shared" si="12"/>
        <v>0</v>
      </c>
      <c r="I143" s="126"/>
      <c r="J143" s="248"/>
    </row>
    <row r="144" spans="1:10" ht="12.75">
      <c r="A144" s="403"/>
      <c r="B144" s="442" t="s">
        <v>100</v>
      </c>
      <c r="C144" s="443"/>
      <c r="D144" s="163">
        <v>0</v>
      </c>
      <c r="E144" s="160">
        <v>0</v>
      </c>
      <c r="F144" s="113">
        <v>1</v>
      </c>
      <c r="G144" s="161">
        <f t="shared" si="13"/>
        <v>0</v>
      </c>
      <c r="H144" s="162">
        <f t="shared" si="12"/>
        <v>0</v>
      </c>
      <c r="I144" s="126"/>
      <c r="J144" s="248"/>
    </row>
    <row r="145" spans="1:10" ht="12.75">
      <c r="A145" s="403"/>
      <c r="B145" s="442" t="s">
        <v>101</v>
      </c>
      <c r="C145" s="443"/>
      <c r="D145" s="163">
        <v>0</v>
      </c>
      <c r="E145" s="160">
        <v>0</v>
      </c>
      <c r="F145" s="113">
        <v>1</v>
      </c>
      <c r="G145" s="161">
        <f t="shared" si="13"/>
        <v>0</v>
      </c>
      <c r="H145" s="162">
        <f t="shared" si="12"/>
        <v>0</v>
      </c>
      <c r="I145" s="126"/>
      <c r="J145" s="248"/>
    </row>
    <row r="146" spans="1:10" ht="12.75">
      <c r="A146" s="403"/>
      <c r="B146" s="442" t="s">
        <v>102</v>
      </c>
      <c r="C146" s="443"/>
      <c r="D146" s="163">
        <v>0</v>
      </c>
      <c r="E146" s="160">
        <v>0</v>
      </c>
      <c r="F146" s="113">
        <v>1</v>
      </c>
      <c r="G146" s="161">
        <f t="shared" si="13"/>
        <v>0</v>
      </c>
      <c r="H146" s="162">
        <f t="shared" si="12"/>
        <v>0</v>
      </c>
      <c r="I146" s="126"/>
      <c r="J146" s="248"/>
    </row>
    <row r="147" spans="1:10" ht="12.75">
      <c r="A147" s="403"/>
      <c r="B147" s="378" t="s">
        <v>103</v>
      </c>
      <c r="C147" s="379"/>
      <c r="D147" s="386"/>
      <c r="E147" s="387"/>
      <c r="F147" s="387"/>
      <c r="G147" s="387"/>
      <c r="H147" s="388"/>
      <c r="I147" s="126"/>
      <c r="J147" s="248"/>
    </row>
    <row r="148" spans="1:10" ht="12.75">
      <c r="A148" s="403"/>
      <c r="B148" s="440" t="s">
        <v>104</v>
      </c>
      <c r="C148" s="441"/>
      <c r="D148" s="116"/>
      <c r="E148" s="160">
        <v>0</v>
      </c>
      <c r="F148" s="113">
        <v>1</v>
      </c>
      <c r="G148" s="161">
        <f>E148*F148</f>
        <v>0</v>
      </c>
      <c r="H148" s="162">
        <f>G148+D148</f>
        <v>0</v>
      </c>
      <c r="I148" s="126"/>
      <c r="J148" s="248"/>
    </row>
    <row r="149" spans="1:10" ht="12.75">
      <c r="A149" s="403"/>
      <c r="B149" s="440" t="s">
        <v>105</v>
      </c>
      <c r="C149" s="441"/>
      <c r="D149" s="163">
        <v>0</v>
      </c>
      <c r="E149" s="160">
        <v>0</v>
      </c>
      <c r="F149" s="113">
        <v>1</v>
      </c>
      <c r="G149" s="161">
        <f>E149*F149</f>
        <v>0</v>
      </c>
      <c r="H149" s="162">
        <f>G149+D149</f>
        <v>0</v>
      </c>
      <c r="I149" s="126"/>
      <c r="J149" s="248"/>
    </row>
    <row r="150" spans="1:10" ht="12.75">
      <c r="A150" s="403"/>
      <c r="B150" s="440" t="s">
        <v>106</v>
      </c>
      <c r="C150" s="441"/>
      <c r="D150" s="163">
        <v>0</v>
      </c>
      <c r="E150" s="160">
        <v>0</v>
      </c>
      <c r="F150" s="113">
        <v>1</v>
      </c>
      <c r="G150" s="161">
        <f>E150*F150</f>
        <v>0</v>
      </c>
      <c r="H150" s="162">
        <f>G150+D150</f>
        <v>0</v>
      </c>
      <c r="I150" s="126"/>
      <c r="J150" s="248"/>
    </row>
    <row r="151" spans="1:10" ht="12.75">
      <c r="A151" s="403"/>
      <c r="B151" s="378" t="s">
        <v>44</v>
      </c>
      <c r="C151" s="379"/>
      <c r="D151" s="386"/>
      <c r="E151" s="387"/>
      <c r="F151" s="387"/>
      <c r="G151" s="387"/>
      <c r="H151" s="388"/>
      <c r="I151" s="126"/>
      <c r="J151" s="248"/>
    </row>
    <row r="152" spans="1:10" ht="12.75">
      <c r="A152" s="403"/>
      <c r="B152" s="442" t="s">
        <v>139</v>
      </c>
      <c r="C152" s="443"/>
      <c r="D152" s="116">
        <v>0</v>
      </c>
      <c r="E152" s="160">
        <v>0</v>
      </c>
      <c r="F152" s="113">
        <v>1</v>
      </c>
      <c r="G152" s="161">
        <f aca="true" t="shared" si="14" ref="G152:G157">E152*F152</f>
        <v>0</v>
      </c>
      <c r="H152" s="162">
        <f aca="true" t="shared" si="15" ref="H152:H157">G152+D152</f>
        <v>0</v>
      </c>
      <c r="I152" s="126"/>
      <c r="J152" s="248"/>
    </row>
    <row r="153" spans="1:10" ht="12.75">
      <c r="A153" s="403"/>
      <c r="B153" s="440" t="s">
        <v>107</v>
      </c>
      <c r="C153" s="441"/>
      <c r="D153" s="163">
        <v>0</v>
      </c>
      <c r="E153" s="160">
        <v>0</v>
      </c>
      <c r="F153" s="113">
        <v>1</v>
      </c>
      <c r="G153" s="161">
        <f t="shared" si="14"/>
        <v>0</v>
      </c>
      <c r="H153" s="162">
        <f t="shared" si="15"/>
        <v>0</v>
      </c>
      <c r="I153" s="126"/>
      <c r="J153" s="248"/>
    </row>
    <row r="154" spans="1:10" ht="12.75">
      <c r="A154" s="403"/>
      <c r="B154" s="440" t="s">
        <v>108</v>
      </c>
      <c r="C154" s="441"/>
      <c r="D154" s="163">
        <v>0</v>
      </c>
      <c r="E154" s="160">
        <v>0</v>
      </c>
      <c r="F154" s="113">
        <v>1</v>
      </c>
      <c r="G154" s="161">
        <f t="shared" si="14"/>
        <v>0</v>
      </c>
      <c r="H154" s="162">
        <f t="shared" si="15"/>
        <v>0</v>
      </c>
      <c r="I154" s="126"/>
      <c r="J154" s="248"/>
    </row>
    <row r="155" spans="1:10" ht="12.75">
      <c r="A155" s="403"/>
      <c r="B155" s="440" t="s">
        <v>109</v>
      </c>
      <c r="C155" s="441"/>
      <c r="D155" s="163">
        <v>0</v>
      </c>
      <c r="E155" s="160">
        <v>0</v>
      </c>
      <c r="F155" s="113">
        <v>1</v>
      </c>
      <c r="G155" s="161">
        <f t="shared" si="14"/>
        <v>0</v>
      </c>
      <c r="H155" s="162">
        <f t="shared" si="15"/>
        <v>0</v>
      </c>
      <c r="I155" s="126"/>
      <c r="J155" s="248"/>
    </row>
    <row r="156" spans="1:10" ht="12.75">
      <c r="A156" s="403"/>
      <c r="B156" s="440" t="s">
        <v>110</v>
      </c>
      <c r="C156" s="441"/>
      <c r="D156" s="116">
        <v>0</v>
      </c>
      <c r="E156" s="160">
        <v>0</v>
      </c>
      <c r="F156" s="113">
        <v>1</v>
      </c>
      <c r="G156" s="161">
        <f t="shared" si="14"/>
        <v>0</v>
      </c>
      <c r="H156" s="162">
        <f t="shared" si="15"/>
        <v>0</v>
      </c>
      <c r="I156" s="126">
        <v>1259800</v>
      </c>
      <c r="J156" s="251" t="s">
        <v>260</v>
      </c>
    </row>
    <row r="157" spans="1:10" ht="12.75">
      <c r="A157" s="403"/>
      <c r="B157" s="450" t="s">
        <v>111</v>
      </c>
      <c r="C157" s="455"/>
      <c r="D157" s="163">
        <v>0</v>
      </c>
      <c r="E157" s="160">
        <v>0</v>
      </c>
      <c r="F157" s="113">
        <v>1</v>
      </c>
      <c r="G157" s="161">
        <f t="shared" si="14"/>
        <v>0</v>
      </c>
      <c r="H157" s="162">
        <f t="shared" si="15"/>
        <v>0</v>
      </c>
      <c r="I157" s="126"/>
      <c r="J157" s="248"/>
    </row>
    <row r="158" spans="1:10" ht="12.75">
      <c r="A158" s="403"/>
      <c r="B158" s="378" t="s">
        <v>112</v>
      </c>
      <c r="C158" s="379"/>
      <c r="D158" s="386"/>
      <c r="E158" s="387"/>
      <c r="F158" s="387"/>
      <c r="G158" s="387"/>
      <c r="H158" s="388"/>
      <c r="I158" s="126"/>
      <c r="J158" s="248"/>
    </row>
    <row r="159" spans="1:10" ht="12.75">
      <c r="A159" s="403"/>
      <c r="B159" s="440" t="s">
        <v>127</v>
      </c>
      <c r="C159" s="441"/>
      <c r="D159" s="163">
        <v>0</v>
      </c>
      <c r="E159" s="160">
        <v>0</v>
      </c>
      <c r="F159" s="113">
        <v>1</v>
      </c>
      <c r="G159" s="161">
        <f>F159*E159</f>
        <v>0</v>
      </c>
      <c r="H159" s="162">
        <f>G159+D159</f>
        <v>0</v>
      </c>
      <c r="I159" s="126"/>
      <c r="J159" s="248"/>
    </row>
    <row r="160" spans="1:10" ht="12.75">
      <c r="A160" s="403"/>
      <c r="B160" s="440" t="s">
        <v>128</v>
      </c>
      <c r="C160" s="441"/>
      <c r="D160" s="163">
        <v>0</v>
      </c>
      <c r="E160" s="160">
        <v>0</v>
      </c>
      <c r="F160" s="113">
        <v>1</v>
      </c>
      <c r="G160" s="161">
        <f>F160*E160</f>
        <v>0</v>
      </c>
      <c r="H160" s="162">
        <f>G160+D160</f>
        <v>0</v>
      </c>
      <c r="I160" s="126"/>
      <c r="J160" s="248"/>
    </row>
    <row r="161" spans="1:10" ht="12.75">
      <c r="A161" s="403"/>
      <c r="B161" s="378" t="s">
        <v>113</v>
      </c>
      <c r="C161" s="379"/>
      <c r="D161" s="386"/>
      <c r="E161" s="387"/>
      <c r="F161" s="387"/>
      <c r="G161" s="387"/>
      <c r="H161" s="388"/>
      <c r="I161" s="126"/>
      <c r="J161" s="248"/>
    </row>
    <row r="162" spans="1:10" ht="12.75">
      <c r="A162" s="403"/>
      <c r="B162" s="440" t="s">
        <v>114</v>
      </c>
      <c r="C162" s="441"/>
      <c r="D162" s="163">
        <v>0</v>
      </c>
      <c r="E162" s="160">
        <v>0</v>
      </c>
      <c r="F162" s="113">
        <v>1</v>
      </c>
      <c r="G162" s="161">
        <f>E162*F162</f>
        <v>0</v>
      </c>
      <c r="H162" s="162">
        <f>G162+D162</f>
        <v>0</v>
      </c>
      <c r="I162" s="126"/>
      <c r="J162" s="248"/>
    </row>
    <row r="163" spans="1:10" ht="12.75">
      <c r="A163" s="403"/>
      <c r="B163" s="440" t="s">
        <v>115</v>
      </c>
      <c r="C163" s="441"/>
      <c r="D163" s="163">
        <v>0</v>
      </c>
      <c r="E163" s="160">
        <v>0</v>
      </c>
      <c r="F163" s="113">
        <v>1</v>
      </c>
      <c r="G163" s="161">
        <f>E163*F163</f>
        <v>0</v>
      </c>
      <c r="H163" s="162">
        <f>G163+D163</f>
        <v>0</v>
      </c>
      <c r="I163" s="126"/>
      <c r="J163" s="248"/>
    </row>
    <row r="164" spans="1:10" ht="12.75">
      <c r="A164" s="403"/>
      <c r="B164" s="456" t="s">
        <v>116</v>
      </c>
      <c r="C164" s="455"/>
      <c r="D164" s="163">
        <v>0</v>
      </c>
      <c r="E164" s="160">
        <v>0</v>
      </c>
      <c r="F164" s="113">
        <v>1</v>
      </c>
      <c r="G164" s="161">
        <f>E164*F164</f>
        <v>0</v>
      </c>
      <c r="H164" s="162">
        <f>G164+D164</f>
        <v>0</v>
      </c>
      <c r="I164" s="126"/>
      <c r="J164" s="248"/>
    </row>
    <row r="165" spans="1:10" ht="12.75">
      <c r="A165" s="403"/>
      <c r="B165" s="442" t="s">
        <v>117</v>
      </c>
      <c r="C165" s="443"/>
      <c r="D165" s="261">
        <v>0</v>
      </c>
      <c r="E165" s="262">
        <v>0</v>
      </c>
      <c r="F165" s="263">
        <v>1</v>
      </c>
      <c r="G165" s="256">
        <f>E165*F165</f>
        <v>0</v>
      </c>
      <c r="H165" s="264">
        <f>G165+D165</f>
        <v>0</v>
      </c>
      <c r="I165" s="126"/>
      <c r="J165" s="251" t="s">
        <v>263</v>
      </c>
    </row>
    <row r="166" spans="1:10" ht="12.75">
      <c r="A166" s="403"/>
      <c r="B166" s="378" t="s">
        <v>118</v>
      </c>
      <c r="C166" s="379"/>
      <c r="D166" s="380"/>
      <c r="E166" s="381"/>
      <c r="F166" s="381"/>
      <c r="G166" s="381"/>
      <c r="H166" s="382"/>
      <c r="I166" s="126"/>
      <c r="J166" s="248"/>
    </row>
    <row r="167" spans="1:10" ht="12.75">
      <c r="A167" s="403"/>
      <c r="B167" s="442" t="s">
        <v>119</v>
      </c>
      <c r="C167" s="443"/>
      <c r="D167" s="116">
        <v>0</v>
      </c>
      <c r="E167" s="160">
        <v>0</v>
      </c>
      <c r="F167" s="113">
        <v>1</v>
      </c>
      <c r="G167" s="161">
        <f>E167*F167</f>
        <v>0</v>
      </c>
      <c r="H167" s="162">
        <f>G167+D167</f>
        <v>0</v>
      </c>
      <c r="I167" s="126"/>
      <c r="J167" s="248"/>
    </row>
    <row r="168" spans="1:10" ht="12.75">
      <c r="A168" s="403"/>
      <c r="B168" s="450" t="s">
        <v>126</v>
      </c>
      <c r="C168" s="451"/>
      <c r="D168" s="163">
        <v>0</v>
      </c>
      <c r="E168" s="160">
        <v>0</v>
      </c>
      <c r="F168" s="113">
        <v>1</v>
      </c>
      <c r="G168" s="161">
        <f>E168*F168</f>
        <v>0</v>
      </c>
      <c r="H168" s="162">
        <f>G168+D168</f>
        <v>0</v>
      </c>
      <c r="I168" s="126"/>
      <c r="J168" s="248"/>
    </row>
    <row r="169" spans="1:10" ht="12.75">
      <c r="A169" s="403"/>
      <c r="B169" s="457" t="s">
        <v>120</v>
      </c>
      <c r="C169" s="458"/>
      <c r="D169" s="164">
        <f>SUM(D170:D174)</f>
        <v>0</v>
      </c>
      <c r="E169" s="165">
        <f>SUM(E170:E174)</f>
        <v>0</v>
      </c>
      <c r="F169" s="166"/>
      <c r="G169" s="165">
        <f>SUM(G170:G174)</f>
        <v>0</v>
      </c>
      <c r="H169" s="167">
        <f>SUM(H170:H174)</f>
        <v>0</v>
      </c>
      <c r="I169" s="126"/>
      <c r="J169" s="248"/>
    </row>
    <row r="170" spans="1:10" ht="12.75">
      <c r="A170" s="403"/>
      <c r="B170" s="459" t="s">
        <v>130</v>
      </c>
      <c r="C170" s="460"/>
      <c r="D170" s="168">
        <v>0</v>
      </c>
      <c r="E170" s="169">
        <v>0</v>
      </c>
      <c r="F170" s="118">
        <v>1</v>
      </c>
      <c r="G170" s="171">
        <f>E170*F170</f>
        <v>0</v>
      </c>
      <c r="H170" s="170">
        <f>G170+D170</f>
        <v>0</v>
      </c>
      <c r="I170" s="126"/>
      <c r="J170" s="248"/>
    </row>
    <row r="171" spans="1:10" ht="12.75">
      <c r="A171" s="403"/>
      <c r="B171" s="459" t="s">
        <v>131</v>
      </c>
      <c r="C171" s="460"/>
      <c r="D171" s="163">
        <v>0</v>
      </c>
      <c r="E171" s="160">
        <v>0</v>
      </c>
      <c r="F171" s="113">
        <v>1</v>
      </c>
      <c r="G171" s="161">
        <f>E171*F171</f>
        <v>0</v>
      </c>
      <c r="H171" s="162">
        <f>G171+D171</f>
        <v>0</v>
      </c>
      <c r="I171" s="126"/>
      <c r="J171" s="248"/>
    </row>
    <row r="172" spans="1:10" ht="12.75">
      <c r="A172" s="403"/>
      <c r="B172" s="459" t="s">
        <v>132</v>
      </c>
      <c r="C172" s="460"/>
      <c r="D172" s="163">
        <v>0</v>
      </c>
      <c r="E172" s="160">
        <v>0</v>
      </c>
      <c r="F172" s="113">
        <v>1</v>
      </c>
      <c r="G172" s="161">
        <f>E172*F172</f>
        <v>0</v>
      </c>
      <c r="H172" s="162">
        <f>G172+D172</f>
        <v>0</v>
      </c>
      <c r="I172" s="126"/>
      <c r="J172" s="248"/>
    </row>
    <row r="173" spans="1:10" ht="12.75">
      <c r="A173" s="403"/>
      <c r="B173" s="459" t="s">
        <v>133</v>
      </c>
      <c r="C173" s="460"/>
      <c r="D173" s="163">
        <v>0</v>
      </c>
      <c r="E173" s="160">
        <v>0</v>
      </c>
      <c r="F173" s="113">
        <v>1</v>
      </c>
      <c r="G173" s="161">
        <f>E173*F173</f>
        <v>0</v>
      </c>
      <c r="H173" s="162">
        <f>G173+D173</f>
        <v>0</v>
      </c>
      <c r="I173" s="126"/>
      <c r="J173" s="248"/>
    </row>
    <row r="174" spans="1:10" ht="12.75">
      <c r="A174" s="403"/>
      <c r="B174" s="459" t="s">
        <v>134</v>
      </c>
      <c r="C174" s="460"/>
      <c r="D174" s="168">
        <v>0</v>
      </c>
      <c r="E174" s="169">
        <v>0</v>
      </c>
      <c r="F174" s="118">
        <v>1</v>
      </c>
      <c r="G174" s="171">
        <f>E174*F174</f>
        <v>0</v>
      </c>
      <c r="H174" s="170">
        <f>G174+D174</f>
        <v>0</v>
      </c>
      <c r="I174" s="126"/>
      <c r="J174" s="248"/>
    </row>
    <row r="175" spans="1:10" ht="13.5" thickBot="1">
      <c r="A175" s="404"/>
      <c r="B175" s="461" t="s">
        <v>45</v>
      </c>
      <c r="C175" s="462"/>
      <c r="D175" s="61">
        <f>SUM(D93,D105,D169)</f>
        <v>48682458.48615999</v>
      </c>
      <c r="E175" s="62">
        <f>SUM(E169,E105,E93)</f>
        <v>26153.820118011958</v>
      </c>
      <c r="F175" s="64"/>
      <c r="G175" s="63">
        <f>SUM(G169,G105,G93)</f>
        <v>2542596.637264574</v>
      </c>
      <c r="H175" s="130">
        <f>SUM(H169,H105,H93)</f>
        <v>51225055.12342456</v>
      </c>
      <c r="I175" s="126"/>
      <c r="J175" s="248"/>
    </row>
    <row r="176" spans="1:10" ht="15.75" customHeight="1">
      <c r="A176" s="394" t="str">
        <f>'Ap. 2 Ingresos C. Benef.'!$A$26</f>
        <v>JARDIN INFANTIL "TORTUGUITA MARINA"</v>
      </c>
      <c r="B176" s="397" t="s">
        <v>121</v>
      </c>
      <c r="C176" s="398"/>
      <c r="D176" s="156">
        <f>SUM(D186:D187,D184,D178:D182)</f>
        <v>8927063.279</v>
      </c>
      <c r="E176" s="157">
        <f>SUM(E186:E187,E184,E178:E182)</f>
        <v>0</v>
      </c>
      <c r="F176" s="158"/>
      <c r="G176" s="157">
        <f>SUM(G186:G187,G184,G178:G182)</f>
        <v>0</v>
      </c>
      <c r="H176" s="159">
        <f>SUM(H186:H187,H184,H178:H182)</f>
        <v>8927063.279</v>
      </c>
      <c r="I176" s="126"/>
      <c r="J176" s="248"/>
    </row>
    <row r="177" spans="1:10" ht="12.75">
      <c r="A177" s="395"/>
      <c r="B177" s="378" t="s">
        <v>61</v>
      </c>
      <c r="C177" s="379"/>
      <c r="D177" s="399"/>
      <c r="E177" s="400"/>
      <c r="F177" s="400"/>
      <c r="G177" s="400"/>
      <c r="H177" s="401"/>
      <c r="I177" s="126"/>
      <c r="J177" s="248"/>
    </row>
    <row r="178" spans="1:14" ht="12.75">
      <c r="A178" s="395"/>
      <c r="B178" s="440" t="s">
        <v>62</v>
      </c>
      <c r="C178" s="441"/>
      <c r="D178" s="116">
        <f>O188</f>
        <v>7329827.1</v>
      </c>
      <c r="E178" s="160">
        <v>0</v>
      </c>
      <c r="F178" s="113">
        <v>1</v>
      </c>
      <c r="G178" s="161">
        <f>E178*F178</f>
        <v>0</v>
      </c>
      <c r="H178" s="162">
        <f>G178+D178</f>
        <v>7329827.1</v>
      </c>
      <c r="I178" s="126">
        <v>6381089</v>
      </c>
      <c r="J178" s="248"/>
      <c r="K178" s="112"/>
      <c r="M178" s="112"/>
      <c r="N178" s="112"/>
    </row>
    <row r="179" spans="1:15" ht="12.75">
      <c r="A179" s="395"/>
      <c r="B179" s="440" t="s">
        <v>63</v>
      </c>
      <c r="C179" s="441"/>
      <c r="D179" s="116">
        <v>394561.90799999994</v>
      </c>
      <c r="E179" s="160">
        <v>0</v>
      </c>
      <c r="F179" s="113">
        <v>1</v>
      </c>
      <c r="G179" s="161">
        <f>E179*F179</f>
        <v>0</v>
      </c>
      <c r="H179" s="162">
        <f>G179+D179</f>
        <v>394561.90799999994</v>
      </c>
      <c r="I179" s="126"/>
      <c r="J179" s="248"/>
      <c r="O179" s="233">
        <f>SUM(N181:N184)</f>
        <v>2</v>
      </c>
    </row>
    <row r="180" spans="1:18" ht="51">
      <c r="A180" s="395"/>
      <c r="B180" s="442" t="s">
        <v>64</v>
      </c>
      <c r="C180" s="443"/>
      <c r="D180" s="116">
        <v>0</v>
      </c>
      <c r="E180" s="160">
        <v>0</v>
      </c>
      <c r="F180" s="113">
        <v>1</v>
      </c>
      <c r="G180" s="161">
        <f>E180*F180</f>
        <v>0</v>
      </c>
      <c r="H180" s="162">
        <f>G180+D180</f>
        <v>0</v>
      </c>
      <c r="I180" s="126"/>
      <c r="J180" s="248"/>
      <c r="M180" s="373" t="s">
        <v>268</v>
      </c>
      <c r="N180" s="374"/>
      <c r="O180" s="375"/>
      <c r="Q180" s="247" t="s">
        <v>253</v>
      </c>
      <c r="R180" s="234">
        <f>'[2]REMUN. BASE  AREA EDUC.'!$N$10</f>
        <v>642940</v>
      </c>
    </row>
    <row r="181" spans="1:15" ht="12.75">
      <c r="A181" s="395"/>
      <c r="B181" s="440" t="s">
        <v>65</v>
      </c>
      <c r="C181" s="441"/>
      <c r="D181" s="116">
        <f>SUM(R180+R185)</f>
        <v>879376</v>
      </c>
      <c r="E181" s="160">
        <v>0</v>
      </c>
      <c r="F181" s="113">
        <v>1</v>
      </c>
      <c r="G181" s="161">
        <f>E181*F181</f>
        <v>0</v>
      </c>
      <c r="H181" s="162">
        <f>G181+D181</f>
        <v>879376</v>
      </c>
      <c r="I181" s="126">
        <v>120000</v>
      </c>
      <c r="J181" s="248"/>
      <c r="M181" s="222" t="s">
        <v>243</v>
      </c>
      <c r="N181" s="235">
        <v>0</v>
      </c>
      <c r="O181" s="236">
        <v>0</v>
      </c>
    </row>
    <row r="182" spans="1:18" ht="12.75" customHeight="1">
      <c r="A182" s="395"/>
      <c r="B182" s="440" t="s">
        <v>136</v>
      </c>
      <c r="C182" s="441"/>
      <c r="D182" s="163">
        <v>0</v>
      </c>
      <c r="E182" s="160">
        <v>0</v>
      </c>
      <c r="F182" s="113">
        <v>1</v>
      </c>
      <c r="G182" s="161">
        <f>E182*F182</f>
        <v>0</v>
      </c>
      <c r="H182" s="162">
        <f>G182+D182</f>
        <v>0</v>
      </c>
      <c r="I182" s="126"/>
      <c r="J182" s="248"/>
      <c r="M182" s="222" t="s">
        <v>244</v>
      </c>
      <c r="N182" s="235">
        <v>1</v>
      </c>
      <c r="O182" s="236">
        <f>SUM('[2]REMUN. BASE  AREA EDUC.'!$I$7:$I$8)</f>
        <v>493157.79399999994</v>
      </c>
      <c r="Q182" s="376" t="s">
        <v>261</v>
      </c>
      <c r="R182" s="377"/>
    </row>
    <row r="183" spans="1:18" ht="12.75" customHeight="1">
      <c r="A183" s="395"/>
      <c r="B183" s="378" t="s">
        <v>66</v>
      </c>
      <c r="C183" s="379"/>
      <c r="D183" s="386"/>
      <c r="E183" s="387"/>
      <c r="F183" s="387"/>
      <c r="G183" s="387"/>
      <c r="H183" s="388"/>
      <c r="I183" s="126"/>
      <c r="J183" s="248"/>
      <c r="M183" s="222" t="s">
        <v>246</v>
      </c>
      <c r="N183" s="235">
        <v>0</v>
      </c>
      <c r="O183" s="237">
        <v>0</v>
      </c>
      <c r="Q183" s="225" t="s">
        <v>273</v>
      </c>
      <c r="R183" s="238">
        <f>'[2]REMUN. BASE  AREA EDUC.'!$M$10</f>
        <v>236435.99999999997</v>
      </c>
    </row>
    <row r="184" spans="1:18" ht="12.75" customHeight="1">
      <c r="A184" s="395"/>
      <c r="B184" s="440" t="s">
        <v>67</v>
      </c>
      <c r="C184" s="441"/>
      <c r="D184" s="116">
        <f>1*D178/100</f>
        <v>73298.271</v>
      </c>
      <c r="E184" s="160">
        <v>0</v>
      </c>
      <c r="F184" s="113">
        <v>1</v>
      </c>
      <c r="G184" s="161">
        <f>E184*F184</f>
        <v>0</v>
      </c>
      <c r="H184" s="162">
        <f>G184+D184</f>
        <v>73298.271</v>
      </c>
      <c r="I184" s="126"/>
      <c r="J184" s="248"/>
      <c r="M184" s="222" t="s">
        <v>247</v>
      </c>
      <c r="N184" s="235">
        <v>1</v>
      </c>
      <c r="O184" s="236">
        <f>'[2]REMUN. BASE  AREA EDUC.'!$I$9</f>
        <v>117661.131</v>
      </c>
      <c r="Q184" s="225" t="s">
        <v>248</v>
      </c>
      <c r="R184" s="238">
        <f>'[1]SUELDOS'!AD174*'[1]Ap. 3 Costos Directos'!N179</f>
        <v>0</v>
      </c>
    </row>
    <row r="185" spans="1:18" ht="12.75" customHeight="1">
      <c r="A185" s="395"/>
      <c r="B185" s="378" t="s">
        <v>68</v>
      </c>
      <c r="C185" s="379"/>
      <c r="D185" s="386"/>
      <c r="E185" s="387"/>
      <c r="F185" s="387"/>
      <c r="G185" s="387"/>
      <c r="H185" s="388"/>
      <c r="I185" s="126"/>
      <c r="J185" s="248"/>
      <c r="M185" s="239" t="s">
        <v>249</v>
      </c>
      <c r="N185" s="240"/>
      <c r="O185" s="241">
        <f>SUM(O181:O184)</f>
        <v>610818.9249999999</v>
      </c>
      <c r="Q185" s="234" t="s">
        <v>191</v>
      </c>
      <c r="R185" s="242">
        <f>SUM(R183:R184)</f>
        <v>236435.99999999997</v>
      </c>
    </row>
    <row r="186" spans="1:15" ht="12.75" customHeight="1">
      <c r="A186" s="395"/>
      <c r="B186" s="445" t="s">
        <v>69</v>
      </c>
      <c r="C186" s="446"/>
      <c r="D186" s="116">
        <v>250000</v>
      </c>
      <c r="E186" s="160">
        <v>0</v>
      </c>
      <c r="F186" s="113">
        <v>1</v>
      </c>
      <c r="G186" s="161">
        <f>E186*F186</f>
        <v>0</v>
      </c>
      <c r="H186" s="162">
        <f>G186+D186</f>
        <v>250000</v>
      </c>
      <c r="I186" s="126"/>
      <c r="J186" s="248"/>
      <c r="M186" s="239" t="s">
        <v>250</v>
      </c>
      <c r="N186" s="243"/>
      <c r="O186" s="444">
        <f>O185*12</f>
        <v>7329827.1</v>
      </c>
    </row>
    <row r="187" spans="1:15" ht="12.75" customHeight="1">
      <c r="A187" s="395"/>
      <c r="B187" s="447" t="s">
        <v>70</v>
      </c>
      <c r="C187" s="446"/>
      <c r="D187" s="163">
        <v>0</v>
      </c>
      <c r="E187" s="160">
        <v>0</v>
      </c>
      <c r="F187" s="113">
        <v>1</v>
      </c>
      <c r="G187" s="161">
        <f>E187*F187</f>
        <v>0</v>
      </c>
      <c r="H187" s="162">
        <f>G187+D187</f>
        <v>0</v>
      </c>
      <c r="I187" s="126"/>
      <c r="J187" s="248"/>
      <c r="M187" s="239" t="s">
        <v>251</v>
      </c>
      <c r="N187" s="240"/>
      <c r="O187" s="244"/>
    </row>
    <row r="188" spans="1:15" ht="12.75" customHeight="1">
      <c r="A188" s="395"/>
      <c r="B188" s="392" t="s">
        <v>71</v>
      </c>
      <c r="C188" s="393"/>
      <c r="D188" s="164">
        <f>SUM(D190:D191,D193:D195,D197:D198,D200:D211,D213:D221,D223:D229,D231:D233,D235:D240,D242:D243,D245:D248,D250:D251)</f>
        <v>7055367</v>
      </c>
      <c r="E188" s="165">
        <f>SUM(E190:E191,E193:E195,E197:E198,E200:E211,E213:E221,E223:E229,E231:E233,E235:E240,E242:E243,E245:E248,E250:E251)</f>
        <v>153805</v>
      </c>
      <c r="F188" s="166"/>
      <c r="G188" s="165">
        <f>SUM(G190:G191,G193:G195,G197:G198,G200:G211,G213:G221,G223:G229,G231:G233,G235:G240,G242:G243,G245:G248,G250:G251)</f>
        <v>2195490</v>
      </c>
      <c r="H188" s="167">
        <f>SUM(H190:H191,H193:H195,H197:H198,H200:H211,H213:H221,H223:H229,H231:H233,H235:H240,H242:H243,H245:H248,H250:H251)</f>
        <v>8535857</v>
      </c>
      <c r="I188" s="126"/>
      <c r="J188" s="248"/>
      <c r="M188" s="245" t="s">
        <v>252</v>
      </c>
      <c r="N188" s="246"/>
      <c r="O188" s="242">
        <f>O186</f>
        <v>7329827.1</v>
      </c>
    </row>
    <row r="189" spans="1:10" ht="12.75" customHeight="1">
      <c r="A189" s="395"/>
      <c r="B189" s="448" t="s">
        <v>72</v>
      </c>
      <c r="C189" s="449"/>
      <c r="D189" s="386"/>
      <c r="E189" s="387"/>
      <c r="F189" s="387"/>
      <c r="G189" s="387"/>
      <c r="H189" s="388"/>
      <c r="I189" s="126"/>
      <c r="J189" s="248"/>
    </row>
    <row r="190" spans="1:10" ht="12.75" customHeight="1">
      <c r="A190" s="395"/>
      <c r="B190" s="442" t="s">
        <v>73</v>
      </c>
      <c r="C190" s="443"/>
      <c r="D190" s="163">
        <v>0</v>
      </c>
      <c r="E190" s="160">
        <v>0</v>
      </c>
      <c r="F190" s="113">
        <v>1</v>
      </c>
      <c r="G190" s="161">
        <f>E190*F190</f>
        <v>0</v>
      </c>
      <c r="H190" s="162">
        <f>G190+D190</f>
        <v>0</v>
      </c>
      <c r="I190" s="126"/>
      <c r="J190" s="248"/>
    </row>
    <row r="191" spans="1:10" ht="12.75" customHeight="1">
      <c r="A191" s="395"/>
      <c r="B191" s="450" t="s">
        <v>123</v>
      </c>
      <c r="C191" s="451"/>
      <c r="D191" s="163">
        <v>0</v>
      </c>
      <c r="E191" s="160">
        <v>0</v>
      </c>
      <c r="F191" s="113">
        <v>1</v>
      </c>
      <c r="G191" s="161">
        <f>E191*F191</f>
        <v>0</v>
      </c>
      <c r="H191" s="162">
        <f>G191+D191</f>
        <v>0</v>
      </c>
      <c r="I191" s="126"/>
      <c r="J191" s="248"/>
    </row>
    <row r="192" spans="1:10" ht="12.75" customHeight="1">
      <c r="A192" s="395"/>
      <c r="B192" s="448" t="s">
        <v>74</v>
      </c>
      <c r="C192" s="449"/>
      <c r="D192" s="386"/>
      <c r="E192" s="387"/>
      <c r="F192" s="387"/>
      <c r="G192" s="387"/>
      <c r="H192" s="388"/>
      <c r="I192" s="126"/>
      <c r="J192" s="248"/>
    </row>
    <row r="193" spans="1:10" ht="12.75" customHeight="1">
      <c r="A193" s="395"/>
      <c r="B193" s="440" t="s">
        <v>122</v>
      </c>
      <c r="C193" s="441"/>
      <c r="D193" s="163">
        <v>0</v>
      </c>
      <c r="E193" s="117"/>
      <c r="F193" s="113">
        <v>1</v>
      </c>
      <c r="G193" s="161">
        <f>E193*F193</f>
        <v>0</v>
      </c>
      <c r="H193" s="162">
        <f>G193+D193</f>
        <v>0</v>
      </c>
      <c r="I193" s="126"/>
      <c r="J193" s="248"/>
    </row>
    <row r="194" spans="1:10" ht="12.75" customHeight="1">
      <c r="A194" s="395"/>
      <c r="B194" s="440" t="s">
        <v>75</v>
      </c>
      <c r="C194" s="441"/>
      <c r="D194" s="163">
        <v>0</v>
      </c>
      <c r="E194" s="117">
        <v>25000</v>
      </c>
      <c r="F194" s="113">
        <v>3</v>
      </c>
      <c r="G194" s="161">
        <f>E194*F194</f>
        <v>75000</v>
      </c>
      <c r="H194" s="162">
        <f>G194+D194</f>
        <v>75000</v>
      </c>
      <c r="I194" s="126"/>
      <c r="J194" s="248"/>
    </row>
    <row r="195" spans="1:10" ht="13.5" customHeight="1">
      <c r="A195" s="395"/>
      <c r="B195" s="440" t="s">
        <v>76</v>
      </c>
      <c r="C195" s="441"/>
      <c r="D195" s="163">
        <v>0</v>
      </c>
      <c r="E195" s="117">
        <v>0</v>
      </c>
      <c r="F195" s="113">
        <v>1</v>
      </c>
      <c r="G195" s="161">
        <f>E195*F195</f>
        <v>0</v>
      </c>
      <c r="H195" s="162">
        <f>G195+D195</f>
        <v>0</v>
      </c>
      <c r="I195" s="126"/>
      <c r="J195" s="248"/>
    </row>
    <row r="196" spans="1:10" ht="12.75" customHeight="1">
      <c r="A196" s="395"/>
      <c r="B196" s="448" t="s">
        <v>77</v>
      </c>
      <c r="C196" s="449"/>
      <c r="D196" s="389"/>
      <c r="E196" s="390"/>
      <c r="F196" s="390"/>
      <c r="G196" s="390"/>
      <c r="H196" s="391"/>
      <c r="I196" s="126"/>
      <c r="J196" s="248"/>
    </row>
    <row r="197" spans="1:10" ht="12.75" customHeight="1">
      <c r="A197" s="395"/>
      <c r="B197" s="442" t="s">
        <v>78</v>
      </c>
      <c r="C197" s="443"/>
      <c r="D197" s="163">
        <v>0</v>
      </c>
      <c r="E197" s="160">
        <v>0</v>
      </c>
      <c r="F197" s="113">
        <v>1</v>
      </c>
      <c r="G197" s="161">
        <f>E197*F197</f>
        <v>0</v>
      </c>
      <c r="H197" s="162">
        <f>G197+D197</f>
        <v>0</v>
      </c>
      <c r="I197" s="126"/>
      <c r="J197" s="248"/>
    </row>
    <row r="198" spans="1:10" ht="12.75">
      <c r="A198" s="395"/>
      <c r="B198" s="440" t="s">
        <v>79</v>
      </c>
      <c r="C198" s="441"/>
      <c r="D198" s="163">
        <v>0</v>
      </c>
      <c r="E198" s="160">
        <v>0</v>
      </c>
      <c r="F198" s="113">
        <v>1</v>
      </c>
      <c r="G198" s="161">
        <f>E198*F198</f>
        <v>0</v>
      </c>
      <c r="H198" s="162">
        <f>G198+D198</f>
        <v>0</v>
      </c>
      <c r="I198" s="126"/>
      <c r="J198" s="248"/>
    </row>
    <row r="199" spans="1:10" ht="12.75">
      <c r="A199" s="395"/>
      <c r="B199" s="448" t="s">
        <v>80</v>
      </c>
      <c r="C199" s="449"/>
      <c r="D199" s="386"/>
      <c r="E199" s="387"/>
      <c r="F199" s="387"/>
      <c r="G199" s="387"/>
      <c r="H199" s="388"/>
      <c r="I199" s="126"/>
      <c r="J199" s="248"/>
    </row>
    <row r="200" spans="1:10" ht="12.75">
      <c r="A200" s="395"/>
      <c r="B200" s="442" t="s">
        <v>135</v>
      </c>
      <c r="C200" s="443"/>
      <c r="D200" s="254">
        <f>618988/2</f>
        <v>309494</v>
      </c>
      <c r="E200" s="255">
        <v>0</v>
      </c>
      <c r="F200" s="260">
        <v>1</v>
      </c>
      <c r="G200" s="256">
        <f>E200*F200</f>
        <v>0</v>
      </c>
      <c r="H200" s="257">
        <f>G200+D200</f>
        <v>309494</v>
      </c>
      <c r="I200" s="126"/>
      <c r="J200" s="248"/>
    </row>
    <row r="201" spans="1:10" ht="12.75">
      <c r="A201" s="395"/>
      <c r="B201" s="442" t="s">
        <v>81</v>
      </c>
      <c r="C201" s="443"/>
      <c r="D201" s="116">
        <v>50000</v>
      </c>
      <c r="E201" s="117">
        <v>0</v>
      </c>
      <c r="F201" s="113">
        <v>1</v>
      </c>
      <c r="G201" s="161">
        <f aca="true" t="shared" si="16" ref="G201:G210">E201*F201</f>
        <v>0</v>
      </c>
      <c r="H201" s="162">
        <f aca="true" t="shared" si="17" ref="H201:H210">G201+D201</f>
        <v>50000</v>
      </c>
      <c r="I201" s="126"/>
      <c r="J201" s="248"/>
    </row>
    <row r="202" spans="1:10" ht="12.75">
      <c r="A202" s="395"/>
      <c r="B202" s="450" t="s">
        <v>138</v>
      </c>
      <c r="C202" s="451"/>
      <c r="D202" s="116">
        <v>0</v>
      </c>
      <c r="E202" s="117">
        <v>0</v>
      </c>
      <c r="F202" s="113">
        <v>1</v>
      </c>
      <c r="G202" s="161">
        <f t="shared" si="16"/>
        <v>0</v>
      </c>
      <c r="H202" s="162">
        <f t="shared" si="17"/>
        <v>0</v>
      </c>
      <c r="I202" s="126"/>
      <c r="J202" s="248"/>
    </row>
    <row r="203" spans="1:10" ht="12.75">
      <c r="A203" s="395"/>
      <c r="B203" s="442" t="s">
        <v>82</v>
      </c>
      <c r="C203" s="443"/>
      <c r="D203" s="116">
        <v>35011</v>
      </c>
      <c r="E203" s="117">
        <v>0</v>
      </c>
      <c r="F203" s="113">
        <v>1</v>
      </c>
      <c r="G203" s="161">
        <f t="shared" si="16"/>
        <v>0</v>
      </c>
      <c r="H203" s="162">
        <f t="shared" si="17"/>
        <v>35011</v>
      </c>
      <c r="I203" s="126"/>
      <c r="J203" s="248"/>
    </row>
    <row r="204" spans="1:10" ht="12.75">
      <c r="A204" s="395"/>
      <c r="B204" s="442" t="s">
        <v>83</v>
      </c>
      <c r="C204" s="443"/>
      <c r="D204" s="116">
        <v>82058</v>
      </c>
      <c r="E204" s="117">
        <v>0</v>
      </c>
      <c r="F204" s="113">
        <v>1</v>
      </c>
      <c r="G204" s="161">
        <f t="shared" si="16"/>
        <v>0</v>
      </c>
      <c r="H204" s="162">
        <f t="shared" si="17"/>
        <v>82058</v>
      </c>
      <c r="I204" s="126"/>
      <c r="J204" s="248"/>
    </row>
    <row r="205" spans="1:10" ht="12.75">
      <c r="A205" s="395"/>
      <c r="B205" s="450" t="s">
        <v>84</v>
      </c>
      <c r="C205" s="451"/>
      <c r="D205" s="116">
        <v>43764</v>
      </c>
      <c r="E205" s="117">
        <v>0</v>
      </c>
      <c r="F205" s="113">
        <v>1</v>
      </c>
      <c r="G205" s="161">
        <f t="shared" si="16"/>
        <v>0</v>
      </c>
      <c r="H205" s="162">
        <f t="shared" si="17"/>
        <v>43764</v>
      </c>
      <c r="I205" s="126"/>
      <c r="J205" s="248"/>
    </row>
    <row r="206" spans="1:10" ht="12.75">
      <c r="A206" s="395"/>
      <c r="B206" s="442" t="s">
        <v>124</v>
      </c>
      <c r="C206" s="443"/>
      <c r="D206" s="116">
        <v>309765</v>
      </c>
      <c r="E206" s="117">
        <v>0</v>
      </c>
      <c r="F206" s="113">
        <v>1</v>
      </c>
      <c r="G206" s="161">
        <f t="shared" si="16"/>
        <v>0</v>
      </c>
      <c r="H206" s="162">
        <f t="shared" si="17"/>
        <v>309765</v>
      </c>
      <c r="I206" s="126">
        <v>208320</v>
      </c>
      <c r="J206" s="248"/>
    </row>
    <row r="207" spans="1:10" ht="12.75">
      <c r="A207" s="395"/>
      <c r="B207" s="442" t="s">
        <v>129</v>
      </c>
      <c r="C207" s="443"/>
      <c r="D207" s="116">
        <v>0</v>
      </c>
      <c r="E207" s="117">
        <v>0</v>
      </c>
      <c r="F207" s="113">
        <v>1</v>
      </c>
      <c r="G207" s="161">
        <f t="shared" si="16"/>
        <v>0</v>
      </c>
      <c r="H207" s="162">
        <f t="shared" si="17"/>
        <v>0</v>
      </c>
      <c r="I207" s="126"/>
      <c r="J207" s="248"/>
    </row>
    <row r="208" spans="1:10" ht="12.75">
      <c r="A208" s="395"/>
      <c r="B208" s="442" t="s">
        <v>85</v>
      </c>
      <c r="C208" s="443"/>
      <c r="D208" s="116">
        <v>928176</v>
      </c>
      <c r="E208" s="117">
        <v>0</v>
      </c>
      <c r="F208" s="113">
        <v>1</v>
      </c>
      <c r="G208" s="161">
        <f t="shared" si="16"/>
        <v>0</v>
      </c>
      <c r="H208" s="162">
        <f t="shared" si="17"/>
        <v>928176</v>
      </c>
      <c r="I208" s="126">
        <v>61487</v>
      </c>
      <c r="J208" s="248">
        <f>H208/11</f>
        <v>84379.63636363637</v>
      </c>
    </row>
    <row r="209" spans="1:10" ht="12.75">
      <c r="A209" s="395"/>
      <c r="B209" s="442" t="s">
        <v>86</v>
      </c>
      <c r="C209" s="443"/>
      <c r="D209" s="116">
        <v>741661</v>
      </c>
      <c r="E209" s="117">
        <v>0</v>
      </c>
      <c r="F209" s="113">
        <v>1</v>
      </c>
      <c r="G209" s="161">
        <f t="shared" si="16"/>
        <v>0</v>
      </c>
      <c r="H209" s="162">
        <f t="shared" si="17"/>
        <v>741661</v>
      </c>
      <c r="I209" s="126">
        <v>260673</v>
      </c>
      <c r="J209" s="248">
        <f>H209/11</f>
        <v>67423.72727272728</v>
      </c>
    </row>
    <row r="210" spans="1:10" ht="12.75">
      <c r="A210" s="395"/>
      <c r="B210" s="442" t="s">
        <v>87</v>
      </c>
      <c r="C210" s="443"/>
      <c r="D210" s="116">
        <v>296683</v>
      </c>
      <c r="E210" s="117">
        <v>0</v>
      </c>
      <c r="F210" s="113">
        <v>1</v>
      </c>
      <c r="G210" s="161">
        <f t="shared" si="16"/>
        <v>0</v>
      </c>
      <c r="H210" s="162">
        <f t="shared" si="17"/>
        <v>296683</v>
      </c>
      <c r="I210" s="126">
        <v>256871</v>
      </c>
      <c r="J210" s="248">
        <f>H210/11</f>
        <v>26971.18181818182</v>
      </c>
    </row>
    <row r="211" spans="1:10" ht="12.75">
      <c r="A211" s="395"/>
      <c r="B211" s="442" t="s">
        <v>125</v>
      </c>
      <c r="C211" s="443"/>
      <c r="D211" s="254">
        <v>0</v>
      </c>
      <c r="E211" s="255">
        <v>9000</v>
      </c>
      <c r="F211" s="260">
        <v>20</v>
      </c>
      <c r="G211" s="256">
        <f>D211</f>
        <v>0</v>
      </c>
      <c r="H211" s="257">
        <f>G211</f>
        <v>0</v>
      </c>
      <c r="I211" s="126">
        <v>688044</v>
      </c>
      <c r="J211" s="248"/>
    </row>
    <row r="212" spans="1:10" s="4" customFormat="1" ht="12.75">
      <c r="A212" s="395"/>
      <c r="B212" s="448" t="s">
        <v>88</v>
      </c>
      <c r="C212" s="449"/>
      <c r="D212" s="386"/>
      <c r="E212" s="387"/>
      <c r="F212" s="387"/>
      <c r="G212" s="387"/>
      <c r="H212" s="388"/>
      <c r="I212" s="128"/>
      <c r="J212" s="250"/>
    </row>
    <row r="213" spans="1:10" s="4" customFormat="1" ht="12.75">
      <c r="A213" s="395"/>
      <c r="B213" s="440" t="s">
        <v>137</v>
      </c>
      <c r="C213" s="441"/>
      <c r="D213" s="163">
        <v>0</v>
      </c>
      <c r="E213" s="160">
        <v>0</v>
      </c>
      <c r="F213" s="113">
        <v>1</v>
      </c>
      <c r="G213" s="161">
        <f>E213*F213</f>
        <v>0</v>
      </c>
      <c r="H213" s="162">
        <f>G213+D213</f>
        <v>0</v>
      </c>
      <c r="I213" s="128"/>
      <c r="J213" s="250"/>
    </row>
    <row r="214" spans="1:10" ht="12.75">
      <c r="A214" s="395"/>
      <c r="B214" s="440" t="s">
        <v>42</v>
      </c>
      <c r="C214" s="441"/>
      <c r="D214" s="116">
        <v>0</v>
      </c>
      <c r="E214" s="117">
        <v>3405</v>
      </c>
      <c r="F214" s="113">
        <v>58</v>
      </c>
      <c r="G214" s="161">
        <f aca="true" t="shared" si="18" ref="G214:G221">E214*F214</f>
        <v>197490</v>
      </c>
      <c r="H214" s="162">
        <f aca="true" t="shared" si="19" ref="H214:H221">G214+D214</f>
        <v>197490</v>
      </c>
      <c r="I214" s="126"/>
      <c r="J214" s="248"/>
    </row>
    <row r="215" spans="1:10" ht="12.75">
      <c r="A215" s="395"/>
      <c r="B215" s="440" t="s">
        <v>43</v>
      </c>
      <c r="C215" s="441"/>
      <c r="D215" s="116">
        <v>50000</v>
      </c>
      <c r="E215" s="117">
        <v>45000</v>
      </c>
      <c r="F215" s="113">
        <v>24</v>
      </c>
      <c r="G215" s="161">
        <f t="shared" si="18"/>
        <v>1080000</v>
      </c>
      <c r="H215" s="162">
        <f t="shared" si="19"/>
        <v>1130000</v>
      </c>
      <c r="I215" s="126">
        <v>94128</v>
      </c>
      <c r="J215" s="248"/>
    </row>
    <row r="216" spans="1:10" ht="12.75">
      <c r="A216" s="395"/>
      <c r="B216" s="440" t="s">
        <v>89</v>
      </c>
      <c r="C216" s="441"/>
      <c r="D216" s="116">
        <v>0</v>
      </c>
      <c r="E216" s="117">
        <v>0</v>
      </c>
      <c r="F216" s="113">
        <v>1</v>
      </c>
      <c r="G216" s="161">
        <f t="shared" si="18"/>
        <v>0</v>
      </c>
      <c r="H216" s="162">
        <f t="shared" si="19"/>
        <v>0</v>
      </c>
      <c r="I216" s="126"/>
      <c r="J216" s="248"/>
    </row>
    <row r="217" spans="1:10" ht="12.75">
      <c r="A217" s="395"/>
      <c r="B217" s="440" t="s">
        <v>90</v>
      </c>
      <c r="C217" s="441"/>
      <c r="D217" s="116">
        <v>0</v>
      </c>
      <c r="E217" s="117">
        <v>0</v>
      </c>
      <c r="F217" s="113">
        <v>1</v>
      </c>
      <c r="G217" s="161">
        <f t="shared" si="18"/>
        <v>0</v>
      </c>
      <c r="H217" s="162">
        <f t="shared" si="19"/>
        <v>0</v>
      </c>
      <c r="I217" s="126"/>
      <c r="J217" s="248"/>
    </row>
    <row r="218" spans="1:10" ht="12.75">
      <c r="A218" s="395"/>
      <c r="B218" s="440" t="s">
        <v>91</v>
      </c>
      <c r="C218" s="441"/>
      <c r="D218" s="116">
        <v>0</v>
      </c>
      <c r="E218" s="117">
        <v>0</v>
      </c>
      <c r="F218" s="113">
        <v>1</v>
      </c>
      <c r="G218" s="161">
        <f t="shared" si="18"/>
        <v>0</v>
      </c>
      <c r="H218" s="162">
        <f t="shared" si="19"/>
        <v>0</v>
      </c>
      <c r="I218" s="126"/>
      <c r="J218" s="248"/>
    </row>
    <row r="219" spans="1:10" ht="12.75">
      <c r="A219" s="395"/>
      <c r="B219" s="440" t="s">
        <v>92</v>
      </c>
      <c r="C219" s="441"/>
      <c r="D219" s="116">
        <v>216150</v>
      </c>
      <c r="E219" s="117">
        <v>0</v>
      </c>
      <c r="F219" s="113">
        <v>1</v>
      </c>
      <c r="G219" s="161">
        <f t="shared" si="18"/>
        <v>0</v>
      </c>
      <c r="H219" s="162">
        <f t="shared" si="19"/>
        <v>216150</v>
      </c>
      <c r="I219" s="126"/>
      <c r="J219" s="248">
        <f>H219/11</f>
        <v>19650</v>
      </c>
    </row>
    <row r="220" spans="1:10" ht="12.75">
      <c r="A220" s="395"/>
      <c r="B220" s="440" t="s">
        <v>93</v>
      </c>
      <c r="C220" s="441"/>
      <c r="D220" s="163">
        <v>0</v>
      </c>
      <c r="E220" s="160">
        <v>0</v>
      </c>
      <c r="F220" s="113">
        <v>1</v>
      </c>
      <c r="G220" s="161">
        <f t="shared" si="18"/>
        <v>0</v>
      </c>
      <c r="H220" s="162">
        <f t="shared" si="19"/>
        <v>0</v>
      </c>
      <c r="I220" s="126"/>
      <c r="J220" s="248"/>
    </row>
    <row r="221" spans="1:10" ht="12.75">
      <c r="A221" s="395"/>
      <c r="B221" s="440" t="s">
        <v>94</v>
      </c>
      <c r="C221" s="441"/>
      <c r="D221" s="163">
        <v>0</v>
      </c>
      <c r="E221" s="160">
        <v>0</v>
      </c>
      <c r="F221" s="113">
        <v>1</v>
      </c>
      <c r="G221" s="161">
        <f t="shared" si="18"/>
        <v>0</v>
      </c>
      <c r="H221" s="162">
        <f t="shared" si="19"/>
        <v>0</v>
      </c>
      <c r="I221" s="126"/>
      <c r="J221" s="248"/>
    </row>
    <row r="222" spans="1:10" ht="12.75">
      <c r="A222" s="395"/>
      <c r="B222" s="378" t="s">
        <v>95</v>
      </c>
      <c r="C222" s="379"/>
      <c r="D222" s="386"/>
      <c r="E222" s="387"/>
      <c r="F222" s="387"/>
      <c r="G222" s="387"/>
      <c r="H222" s="388"/>
      <c r="I222" s="126"/>
      <c r="J222" s="248"/>
    </row>
    <row r="223" spans="1:10" ht="12.75">
      <c r="A223" s="395"/>
      <c r="B223" s="442" t="s">
        <v>96</v>
      </c>
      <c r="C223" s="443"/>
      <c r="D223" s="254">
        <v>2000000</v>
      </c>
      <c r="E223" s="259">
        <v>0</v>
      </c>
      <c r="F223" s="260">
        <v>1</v>
      </c>
      <c r="G223" s="256">
        <f>E223*F223</f>
        <v>0</v>
      </c>
      <c r="H223" s="257">
        <f aca="true" t="shared" si="20" ref="H223:H229">G223+D223</f>
        <v>2000000</v>
      </c>
      <c r="I223" s="126">
        <v>1110507</v>
      </c>
      <c r="J223" s="248"/>
    </row>
    <row r="224" spans="1:10" ht="12.75">
      <c r="A224" s="395"/>
      <c r="B224" s="442" t="s">
        <v>97</v>
      </c>
      <c r="C224" s="443"/>
      <c r="D224" s="116">
        <v>0</v>
      </c>
      <c r="E224" s="160">
        <v>0</v>
      </c>
      <c r="F224" s="113">
        <v>1</v>
      </c>
      <c r="G224" s="161">
        <f aca="true" t="shared" si="21" ref="G224:G229">E224*F224</f>
        <v>0</v>
      </c>
      <c r="H224" s="162">
        <f t="shared" si="20"/>
        <v>0</v>
      </c>
      <c r="I224" s="126"/>
      <c r="J224" s="248"/>
    </row>
    <row r="225" spans="1:10" ht="12.75">
      <c r="A225" s="395"/>
      <c r="B225" s="442" t="s">
        <v>98</v>
      </c>
      <c r="C225" s="443"/>
      <c r="D225" s="116">
        <v>250000</v>
      </c>
      <c r="E225" s="160">
        <v>0</v>
      </c>
      <c r="F225" s="113">
        <v>1</v>
      </c>
      <c r="G225" s="161">
        <f t="shared" si="21"/>
        <v>0</v>
      </c>
      <c r="H225" s="162">
        <f t="shared" si="20"/>
        <v>250000</v>
      </c>
      <c r="I225" s="126"/>
      <c r="J225" s="248"/>
    </row>
    <row r="226" spans="1:10" ht="12.75">
      <c r="A226" s="395"/>
      <c r="B226" s="442" t="s">
        <v>99</v>
      </c>
      <c r="C226" s="443"/>
      <c r="D226" s="163">
        <v>0</v>
      </c>
      <c r="E226" s="160">
        <v>0</v>
      </c>
      <c r="F226" s="113">
        <v>1</v>
      </c>
      <c r="G226" s="161">
        <f t="shared" si="21"/>
        <v>0</v>
      </c>
      <c r="H226" s="162">
        <f t="shared" si="20"/>
        <v>0</v>
      </c>
      <c r="I226" s="126"/>
      <c r="J226" s="248"/>
    </row>
    <row r="227" spans="1:10" ht="12.75">
      <c r="A227" s="395"/>
      <c r="B227" s="442" t="s">
        <v>100</v>
      </c>
      <c r="C227" s="443"/>
      <c r="D227" s="163">
        <v>0</v>
      </c>
      <c r="E227" s="160">
        <v>0</v>
      </c>
      <c r="F227" s="113">
        <v>1</v>
      </c>
      <c r="G227" s="161">
        <f t="shared" si="21"/>
        <v>0</v>
      </c>
      <c r="H227" s="162">
        <f t="shared" si="20"/>
        <v>0</v>
      </c>
      <c r="I227" s="126"/>
      <c r="J227" s="248"/>
    </row>
    <row r="228" spans="1:10" ht="12.75">
      <c r="A228" s="395"/>
      <c r="B228" s="442" t="s">
        <v>101</v>
      </c>
      <c r="C228" s="443"/>
      <c r="D228" s="163">
        <v>0</v>
      </c>
      <c r="E228" s="160">
        <v>0</v>
      </c>
      <c r="F228" s="113">
        <v>1</v>
      </c>
      <c r="G228" s="161">
        <f t="shared" si="21"/>
        <v>0</v>
      </c>
      <c r="H228" s="162">
        <f t="shared" si="20"/>
        <v>0</v>
      </c>
      <c r="I228" s="126"/>
      <c r="J228" s="248"/>
    </row>
    <row r="229" spans="1:10" ht="12.75">
      <c r="A229" s="395"/>
      <c r="B229" s="442" t="s">
        <v>102</v>
      </c>
      <c r="C229" s="443"/>
      <c r="D229" s="163">
        <v>0</v>
      </c>
      <c r="E229" s="160">
        <v>0</v>
      </c>
      <c r="F229" s="113">
        <v>1</v>
      </c>
      <c r="G229" s="161">
        <f t="shared" si="21"/>
        <v>0</v>
      </c>
      <c r="H229" s="162">
        <f t="shared" si="20"/>
        <v>0</v>
      </c>
      <c r="I229" s="126"/>
      <c r="J229" s="248"/>
    </row>
    <row r="230" spans="1:10" ht="12.75">
      <c r="A230" s="395"/>
      <c r="B230" s="378" t="s">
        <v>103</v>
      </c>
      <c r="C230" s="379"/>
      <c r="D230" s="386"/>
      <c r="E230" s="387"/>
      <c r="F230" s="387"/>
      <c r="G230" s="387"/>
      <c r="H230" s="388"/>
      <c r="I230" s="126"/>
      <c r="J230" s="248"/>
    </row>
    <row r="231" spans="1:10" ht="12.75">
      <c r="A231" s="395"/>
      <c r="B231" s="440" t="s">
        <v>104</v>
      </c>
      <c r="C231" s="441"/>
      <c r="D231" s="163">
        <v>0</v>
      </c>
      <c r="E231" s="160">
        <v>0</v>
      </c>
      <c r="F231" s="113">
        <v>1</v>
      </c>
      <c r="G231" s="161">
        <f>E231*F231</f>
        <v>0</v>
      </c>
      <c r="H231" s="162">
        <f>G231+D231</f>
        <v>0</v>
      </c>
      <c r="I231" s="126"/>
      <c r="J231" s="248"/>
    </row>
    <row r="232" spans="1:10" ht="12.75">
      <c r="A232" s="395"/>
      <c r="B232" s="440" t="s">
        <v>105</v>
      </c>
      <c r="C232" s="441"/>
      <c r="D232" s="163">
        <v>0</v>
      </c>
      <c r="E232" s="160">
        <v>0</v>
      </c>
      <c r="F232" s="113">
        <v>1</v>
      </c>
      <c r="G232" s="161">
        <f>E232*F232</f>
        <v>0</v>
      </c>
      <c r="H232" s="162">
        <f>G232+D232</f>
        <v>0</v>
      </c>
      <c r="I232" s="126">
        <v>112000</v>
      </c>
      <c r="J232" s="248"/>
    </row>
    <row r="233" spans="1:10" ht="12.75">
      <c r="A233" s="395"/>
      <c r="B233" s="440" t="s">
        <v>106</v>
      </c>
      <c r="C233" s="441"/>
      <c r="D233" s="163">
        <v>0</v>
      </c>
      <c r="E233" s="160">
        <v>0</v>
      </c>
      <c r="F233" s="113">
        <v>1</v>
      </c>
      <c r="G233" s="161">
        <f>E233*F233</f>
        <v>0</v>
      </c>
      <c r="H233" s="162">
        <f>G233+D233</f>
        <v>0</v>
      </c>
      <c r="I233" s="126"/>
      <c r="J233" s="248"/>
    </row>
    <row r="234" spans="1:10" ht="12.75">
      <c r="A234" s="395"/>
      <c r="B234" s="378" t="s">
        <v>44</v>
      </c>
      <c r="C234" s="379"/>
      <c r="D234" s="386"/>
      <c r="E234" s="387"/>
      <c r="F234" s="387"/>
      <c r="G234" s="387"/>
      <c r="H234" s="388"/>
      <c r="I234" s="126"/>
      <c r="J234" s="248"/>
    </row>
    <row r="235" spans="1:10" ht="12.75">
      <c r="A235" s="395"/>
      <c r="B235" s="442" t="s">
        <v>139</v>
      </c>
      <c r="C235" s="443"/>
      <c r="D235" s="116">
        <v>250000</v>
      </c>
      <c r="E235" s="117">
        <v>0</v>
      </c>
      <c r="F235" s="113">
        <v>1</v>
      </c>
      <c r="G235" s="119">
        <f aca="true" t="shared" si="22" ref="G235:G240">E235*F235</f>
        <v>0</v>
      </c>
      <c r="H235" s="131">
        <f aca="true" t="shared" si="23" ref="H235:H240">G235+D235</f>
        <v>250000</v>
      </c>
      <c r="I235" s="126"/>
      <c r="J235" s="248"/>
    </row>
    <row r="236" spans="1:10" ht="12.75">
      <c r="A236" s="395"/>
      <c r="B236" s="440" t="s">
        <v>107</v>
      </c>
      <c r="C236" s="441"/>
      <c r="D236" s="116">
        <v>0</v>
      </c>
      <c r="E236" s="117">
        <v>0</v>
      </c>
      <c r="F236" s="113">
        <v>1</v>
      </c>
      <c r="G236" s="119">
        <f t="shared" si="22"/>
        <v>0</v>
      </c>
      <c r="H236" s="131">
        <f t="shared" si="23"/>
        <v>0</v>
      </c>
      <c r="I236" s="126">
        <v>62475</v>
      </c>
      <c r="J236" s="248"/>
    </row>
    <row r="237" spans="1:10" ht="12.75">
      <c r="A237" s="395"/>
      <c r="B237" s="440" t="s">
        <v>108</v>
      </c>
      <c r="C237" s="441"/>
      <c r="D237" s="116">
        <v>0</v>
      </c>
      <c r="E237" s="117">
        <v>0</v>
      </c>
      <c r="F237" s="113">
        <v>1</v>
      </c>
      <c r="G237" s="119">
        <f t="shared" si="22"/>
        <v>0</v>
      </c>
      <c r="H237" s="131">
        <f t="shared" si="23"/>
        <v>0</v>
      </c>
      <c r="I237" s="126"/>
      <c r="J237" s="248"/>
    </row>
    <row r="238" spans="1:10" ht="12.75">
      <c r="A238" s="395"/>
      <c r="B238" s="440" t="s">
        <v>109</v>
      </c>
      <c r="C238" s="441"/>
      <c r="D238" s="116">
        <v>0</v>
      </c>
      <c r="E238" s="117">
        <v>0</v>
      </c>
      <c r="F238" s="113">
        <v>1</v>
      </c>
      <c r="G238" s="119">
        <f t="shared" si="22"/>
        <v>0</v>
      </c>
      <c r="H238" s="131">
        <f t="shared" si="23"/>
        <v>0</v>
      </c>
      <c r="I238" s="126"/>
      <c r="J238" s="248"/>
    </row>
    <row r="239" spans="1:10" ht="12.75">
      <c r="A239" s="395"/>
      <c r="B239" s="440" t="s">
        <v>110</v>
      </c>
      <c r="C239" s="441"/>
      <c r="D239" s="116">
        <v>120000</v>
      </c>
      <c r="E239" s="117">
        <v>0</v>
      </c>
      <c r="F239" s="113">
        <v>1</v>
      </c>
      <c r="G239" s="119">
        <f t="shared" si="22"/>
        <v>0</v>
      </c>
      <c r="H239" s="131">
        <f t="shared" si="23"/>
        <v>120000</v>
      </c>
      <c r="I239" s="126">
        <v>470000</v>
      </c>
      <c r="J239" s="248"/>
    </row>
    <row r="240" spans="1:10" ht="12.75">
      <c r="A240" s="395"/>
      <c r="B240" s="450" t="s">
        <v>111</v>
      </c>
      <c r="C240" s="455"/>
      <c r="D240" s="116">
        <v>0</v>
      </c>
      <c r="E240" s="117">
        <v>0</v>
      </c>
      <c r="F240" s="113">
        <v>1</v>
      </c>
      <c r="G240" s="119">
        <f t="shared" si="22"/>
        <v>0</v>
      </c>
      <c r="H240" s="131">
        <f t="shared" si="23"/>
        <v>0</v>
      </c>
      <c r="I240" s="126">
        <v>95200</v>
      </c>
      <c r="J240" s="248"/>
    </row>
    <row r="241" spans="1:10" ht="12.75">
      <c r="A241" s="395"/>
      <c r="B241" s="378" t="s">
        <v>112</v>
      </c>
      <c r="C241" s="379"/>
      <c r="D241" s="383"/>
      <c r="E241" s="384"/>
      <c r="F241" s="384"/>
      <c r="G241" s="384"/>
      <c r="H241" s="385"/>
      <c r="I241" s="126"/>
      <c r="J241" s="248"/>
    </row>
    <row r="242" spans="1:10" ht="12.75">
      <c r="A242" s="395"/>
      <c r="B242" s="440" t="s">
        <v>127</v>
      </c>
      <c r="C242" s="441"/>
      <c r="D242" s="254">
        <v>457605</v>
      </c>
      <c r="E242" s="255">
        <v>0</v>
      </c>
      <c r="F242" s="260">
        <v>1</v>
      </c>
      <c r="G242" s="272">
        <f>F242*E242</f>
        <v>0</v>
      </c>
      <c r="H242" s="273">
        <f>G242+D242</f>
        <v>457605</v>
      </c>
      <c r="I242" s="126"/>
      <c r="J242" s="248"/>
    </row>
    <row r="243" spans="1:10" ht="12.75">
      <c r="A243" s="395"/>
      <c r="B243" s="440" t="s">
        <v>128</v>
      </c>
      <c r="C243" s="441"/>
      <c r="D243" s="254"/>
      <c r="E243" s="255">
        <v>6400</v>
      </c>
      <c r="F243" s="260">
        <v>20</v>
      </c>
      <c r="G243" s="272">
        <f>F243*E243</f>
        <v>128000</v>
      </c>
      <c r="H243" s="273">
        <f>G243+D243</f>
        <v>128000</v>
      </c>
      <c r="I243" s="126">
        <v>165687</v>
      </c>
      <c r="J243" s="248"/>
    </row>
    <row r="244" spans="1:10" ht="12.75">
      <c r="A244" s="395"/>
      <c r="B244" s="378" t="s">
        <v>113</v>
      </c>
      <c r="C244" s="379"/>
      <c r="D244" s="383"/>
      <c r="E244" s="384"/>
      <c r="F244" s="384"/>
      <c r="G244" s="384"/>
      <c r="H244" s="385"/>
      <c r="I244" s="126"/>
      <c r="J244" s="248"/>
    </row>
    <row r="245" spans="1:10" ht="12.75">
      <c r="A245" s="395"/>
      <c r="B245" s="440" t="s">
        <v>114</v>
      </c>
      <c r="C245" s="441"/>
      <c r="D245" s="116">
        <v>200000</v>
      </c>
      <c r="E245" s="117">
        <v>0</v>
      </c>
      <c r="F245" s="113">
        <v>1</v>
      </c>
      <c r="G245" s="119">
        <f>E245*F245</f>
        <v>0</v>
      </c>
      <c r="H245" s="131">
        <f>G245+D245</f>
        <v>200000</v>
      </c>
      <c r="I245" s="126"/>
      <c r="J245" s="248"/>
    </row>
    <row r="246" spans="1:10" ht="12.75">
      <c r="A246" s="395"/>
      <c r="B246" s="440" t="s">
        <v>115</v>
      </c>
      <c r="C246" s="441"/>
      <c r="D246" s="116">
        <v>0</v>
      </c>
      <c r="E246" s="117">
        <v>0</v>
      </c>
      <c r="F246" s="113">
        <v>1</v>
      </c>
      <c r="G246" s="119">
        <f>E246*F246</f>
        <v>0</v>
      </c>
      <c r="H246" s="131">
        <f>G246+D246</f>
        <v>0</v>
      </c>
      <c r="I246" s="126"/>
      <c r="J246" s="248"/>
    </row>
    <row r="247" spans="1:10" ht="12.75">
      <c r="A247" s="395"/>
      <c r="B247" s="456" t="s">
        <v>116</v>
      </c>
      <c r="C247" s="455"/>
      <c r="D247" s="116">
        <v>0</v>
      </c>
      <c r="E247" s="117">
        <v>0</v>
      </c>
      <c r="F247" s="113">
        <v>1</v>
      </c>
      <c r="G247" s="119">
        <f>E247*F247</f>
        <v>0</v>
      </c>
      <c r="H247" s="131">
        <f>G247+D247</f>
        <v>0</v>
      </c>
      <c r="I247" s="126"/>
      <c r="J247" s="248"/>
    </row>
    <row r="248" spans="1:10" ht="12.75">
      <c r="A248" s="395"/>
      <c r="B248" s="442" t="s">
        <v>117</v>
      </c>
      <c r="C248" s="443"/>
      <c r="D248" s="207">
        <v>0</v>
      </c>
      <c r="E248" s="120">
        <v>0</v>
      </c>
      <c r="F248" s="118">
        <v>1</v>
      </c>
      <c r="G248" s="119">
        <f>E248*F248</f>
        <v>0</v>
      </c>
      <c r="H248" s="132">
        <f>G248+D248</f>
        <v>0</v>
      </c>
      <c r="I248" s="126"/>
      <c r="J248" s="251" t="s">
        <v>275</v>
      </c>
    </row>
    <row r="249" spans="1:10" ht="13.5">
      <c r="A249" s="395"/>
      <c r="B249" s="378" t="s">
        <v>118</v>
      </c>
      <c r="C249" s="379"/>
      <c r="D249" s="380"/>
      <c r="E249" s="381"/>
      <c r="F249" s="381"/>
      <c r="G249" s="381"/>
      <c r="H249" s="382"/>
      <c r="I249" s="126"/>
      <c r="J249" s="248"/>
    </row>
    <row r="250" spans="1:11" ht="13.5">
      <c r="A250" s="395"/>
      <c r="B250" s="442" t="s">
        <v>119</v>
      </c>
      <c r="C250" s="443"/>
      <c r="D250" s="116">
        <f>E250*F250</f>
        <v>715000</v>
      </c>
      <c r="E250" s="117">
        <v>65000</v>
      </c>
      <c r="F250" s="113">
        <v>11</v>
      </c>
      <c r="G250" s="119">
        <f>E250*F250</f>
        <v>715000</v>
      </c>
      <c r="H250" s="131">
        <f>G250</f>
        <v>715000</v>
      </c>
      <c r="I250" s="126">
        <v>626136</v>
      </c>
      <c r="J250" s="248">
        <f>H250/11</f>
        <v>65000</v>
      </c>
      <c r="K250" s="1" t="s">
        <v>284</v>
      </c>
    </row>
    <row r="251" spans="1:10" ht="13.5">
      <c r="A251" s="395"/>
      <c r="B251" s="450" t="s">
        <v>126</v>
      </c>
      <c r="C251" s="451"/>
      <c r="D251" s="163">
        <v>0</v>
      </c>
      <c r="E251" s="160">
        <v>0</v>
      </c>
      <c r="F251" s="113">
        <v>1</v>
      </c>
      <c r="G251" s="161">
        <f>E251*F251</f>
        <v>0</v>
      </c>
      <c r="H251" s="162">
        <f>G251+D251</f>
        <v>0</v>
      </c>
      <c r="I251" s="126"/>
      <c r="J251" s="248"/>
    </row>
    <row r="252" spans="1:10" ht="13.5">
      <c r="A252" s="395"/>
      <c r="B252" s="457" t="s">
        <v>120</v>
      </c>
      <c r="C252" s="458"/>
      <c r="D252" s="164">
        <f>SUM(D253:D257)</f>
        <v>0</v>
      </c>
      <c r="E252" s="165">
        <f>SUM(E253:E257)</f>
        <v>0</v>
      </c>
      <c r="F252" s="166"/>
      <c r="G252" s="165">
        <f>SUM(G253:G257)</f>
        <v>0</v>
      </c>
      <c r="H252" s="167">
        <f>SUM(H253:H257)</f>
        <v>0</v>
      </c>
      <c r="I252" s="126"/>
      <c r="J252" s="248"/>
    </row>
    <row r="253" spans="1:10" ht="13.5">
      <c r="A253" s="395"/>
      <c r="B253" s="459" t="s">
        <v>130</v>
      </c>
      <c r="C253" s="460"/>
      <c r="D253" s="168">
        <v>0</v>
      </c>
      <c r="E253" s="169">
        <v>0</v>
      </c>
      <c r="F253" s="118">
        <v>1</v>
      </c>
      <c r="G253" s="171">
        <f>E253*F253</f>
        <v>0</v>
      </c>
      <c r="H253" s="170">
        <f>G253+D253</f>
        <v>0</v>
      </c>
      <c r="I253" s="126"/>
      <c r="J253" s="248"/>
    </row>
    <row r="254" spans="1:10" ht="13.5">
      <c r="A254" s="395"/>
      <c r="B254" s="459" t="s">
        <v>131</v>
      </c>
      <c r="C254" s="460"/>
      <c r="D254" s="116">
        <v>0</v>
      </c>
      <c r="E254" s="160">
        <v>0</v>
      </c>
      <c r="F254" s="113">
        <v>1</v>
      </c>
      <c r="G254" s="161">
        <f>E254*F254</f>
        <v>0</v>
      </c>
      <c r="H254" s="162">
        <f>G254+D254</f>
        <v>0</v>
      </c>
      <c r="I254" s="126"/>
      <c r="J254" s="248"/>
    </row>
    <row r="255" spans="1:10" ht="13.5">
      <c r="A255" s="395"/>
      <c r="B255" s="459" t="s">
        <v>132</v>
      </c>
      <c r="C255" s="460"/>
      <c r="D255" s="163">
        <v>0</v>
      </c>
      <c r="E255" s="160">
        <v>0</v>
      </c>
      <c r="F255" s="113">
        <v>1</v>
      </c>
      <c r="G255" s="161">
        <f>E255*F255</f>
        <v>0</v>
      </c>
      <c r="H255" s="162">
        <f>G255+D255</f>
        <v>0</v>
      </c>
      <c r="I255" s="126"/>
      <c r="J255" s="248"/>
    </row>
    <row r="256" spans="1:10" ht="13.5">
      <c r="A256" s="395"/>
      <c r="B256" s="459" t="s">
        <v>133</v>
      </c>
      <c r="C256" s="460"/>
      <c r="D256" s="163">
        <v>0</v>
      </c>
      <c r="E256" s="160">
        <v>0</v>
      </c>
      <c r="F256" s="113">
        <v>1</v>
      </c>
      <c r="G256" s="161">
        <f>E256*F256</f>
        <v>0</v>
      </c>
      <c r="H256" s="162">
        <f>G256+D256</f>
        <v>0</v>
      </c>
      <c r="I256" s="126"/>
      <c r="J256" s="248"/>
    </row>
    <row r="257" spans="1:10" ht="13.5">
      <c r="A257" s="395"/>
      <c r="B257" s="459" t="s">
        <v>134</v>
      </c>
      <c r="C257" s="460"/>
      <c r="D257" s="168">
        <v>0</v>
      </c>
      <c r="E257" s="169">
        <v>0</v>
      </c>
      <c r="F257" s="118">
        <v>1</v>
      </c>
      <c r="G257" s="171">
        <f>E257*F257</f>
        <v>0</v>
      </c>
      <c r="H257" s="170">
        <f>G257+D257</f>
        <v>0</v>
      </c>
      <c r="I257" s="126"/>
      <c r="J257" s="248"/>
    </row>
    <row r="258" spans="1:10" ht="14.25" thickBot="1">
      <c r="A258" s="396"/>
      <c r="B258" s="461" t="s">
        <v>45</v>
      </c>
      <c r="C258" s="462"/>
      <c r="D258" s="61">
        <f>SUM(D176,D188,D252)</f>
        <v>15982430.279</v>
      </c>
      <c r="E258" s="62">
        <f>SUM(E252,E188,E176)</f>
        <v>153805</v>
      </c>
      <c r="F258" s="64"/>
      <c r="G258" s="63">
        <f>SUM(G252,G188,G176)</f>
        <v>2195490</v>
      </c>
      <c r="H258" s="130">
        <f>SUM(H252,H188,H176)</f>
        <v>17462920.279</v>
      </c>
      <c r="I258" s="126"/>
      <c r="J258" s="248"/>
    </row>
  </sheetData>
  <sheetProtection password="C581" sheet="1" objects="1" scenarios="1"/>
  <mergeCells count="284">
    <mergeCell ref="B31:C31"/>
    <mergeCell ref="B67:C67"/>
    <mergeCell ref="B58:C58"/>
    <mergeCell ref="B59:C59"/>
    <mergeCell ref="B60:C60"/>
    <mergeCell ref="B61:C61"/>
    <mergeCell ref="B62:C62"/>
    <mergeCell ref="B63:C63"/>
    <mergeCell ref="B55:C55"/>
    <mergeCell ref="B57:C57"/>
    <mergeCell ref="B56:C56"/>
    <mergeCell ref="B64:C64"/>
    <mergeCell ref="B65:C65"/>
    <mergeCell ref="B66:C66"/>
    <mergeCell ref="D75:H75"/>
    <mergeCell ref="B45:C45"/>
    <mergeCell ref="B46:C46"/>
    <mergeCell ref="B47:C47"/>
    <mergeCell ref="B48:C48"/>
    <mergeCell ref="B49:C49"/>
    <mergeCell ref="B50:C50"/>
    <mergeCell ref="B51:C51"/>
    <mergeCell ref="B52:C52"/>
    <mergeCell ref="B53:C53"/>
    <mergeCell ref="B33:C33"/>
    <mergeCell ref="B35:C35"/>
    <mergeCell ref="B37:C37"/>
    <mergeCell ref="B38:C38"/>
    <mergeCell ref="B40:C40"/>
    <mergeCell ref="B41:C41"/>
    <mergeCell ref="B92:C92"/>
    <mergeCell ref="B77:C77"/>
    <mergeCell ref="B76:C76"/>
    <mergeCell ref="B25:C25"/>
    <mergeCell ref="B26:C26"/>
    <mergeCell ref="B27:C27"/>
    <mergeCell ref="B28:C28"/>
    <mergeCell ref="B29:C29"/>
    <mergeCell ref="B30:C30"/>
    <mergeCell ref="B32:C32"/>
    <mergeCell ref="B16:C16"/>
    <mergeCell ref="B17:C17"/>
    <mergeCell ref="B18:C18"/>
    <mergeCell ref="B21:C21"/>
    <mergeCell ref="B22:C22"/>
    <mergeCell ref="B23:C23"/>
    <mergeCell ref="B10:C10"/>
    <mergeCell ref="B11:C11"/>
    <mergeCell ref="B12:C12"/>
    <mergeCell ref="B13:C13"/>
    <mergeCell ref="B14:C14"/>
    <mergeCell ref="B15:C15"/>
    <mergeCell ref="D56:H56"/>
    <mergeCell ref="D64:H64"/>
    <mergeCell ref="D68:H68"/>
    <mergeCell ref="B1:G1"/>
    <mergeCell ref="B2:G2"/>
    <mergeCell ref="B3:G3"/>
    <mergeCell ref="D5:E5"/>
    <mergeCell ref="E7:F7"/>
    <mergeCell ref="B8:C8"/>
    <mergeCell ref="B9:C9"/>
    <mergeCell ref="B68:C68"/>
    <mergeCell ref="B70:C70"/>
    <mergeCell ref="B71:C71"/>
    <mergeCell ref="B72:C72"/>
    <mergeCell ref="B73:C73"/>
    <mergeCell ref="B34:C34"/>
    <mergeCell ref="B42:C42"/>
    <mergeCell ref="B43:C43"/>
    <mergeCell ref="B44:C44"/>
    <mergeCell ref="B54:C54"/>
    <mergeCell ref="B75:C75"/>
    <mergeCell ref="C6:D6"/>
    <mergeCell ref="D10:H10"/>
    <mergeCell ref="D16:H16"/>
    <mergeCell ref="D18:H18"/>
    <mergeCell ref="D22:H22"/>
    <mergeCell ref="D25:H25"/>
    <mergeCell ref="D29:H29"/>
    <mergeCell ref="D33:H33"/>
    <mergeCell ref="D46:H46"/>
    <mergeCell ref="B78:C78"/>
    <mergeCell ref="B79:C79"/>
    <mergeCell ref="B80:C80"/>
    <mergeCell ref="B82:C82"/>
    <mergeCell ref="B83:C83"/>
    <mergeCell ref="B84:C84"/>
    <mergeCell ref="D78:H78"/>
    <mergeCell ref="D83:H83"/>
    <mergeCell ref="B69:C69"/>
    <mergeCell ref="A9:A92"/>
    <mergeCell ref="B86:C86"/>
    <mergeCell ref="B87:C87"/>
    <mergeCell ref="B88:C88"/>
    <mergeCell ref="B89:C89"/>
    <mergeCell ref="B90:C90"/>
    <mergeCell ref="B91:C91"/>
    <mergeCell ref="A93:A175"/>
    <mergeCell ref="B93:C93"/>
    <mergeCell ref="B94:C94"/>
    <mergeCell ref="D94:H94"/>
    <mergeCell ref="B95:C95"/>
    <mergeCell ref="B96:C96"/>
    <mergeCell ref="B97:C97"/>
    <mergeCell ref="B98:C98"/>
    <mergeCell ref="B99:C99"/>
    <mergeCell ref="B100:C100"/>
    <mergeCell ref="D100:H100"/>
    <mergeCell ref="B101:C101"/>
    <mergeCell ref="B102:C102"/>
    <mergeCell ref="D102:H102"/>
    <mergeCell ref="B105:C105"/>
    <mergeCell ref="B106:C106"/>
    <mergeCell ref="D106:H106"/>
    <mergeCell ref="B107:C107"/>
    <mergeCell ref="B109:C109"/>
    <mergeCell ref="D109:H109"/>
    <mergeCell ref="B110:C110"/>
    <mergeCell ref="B111:C111"/>
    <mergeCell ref="B112:C112"/>
    <mergeCell ref="B113:C113"/>
    <mergeCell ref="D113:H113"/>
    <mergeCell ref="B114:C114"/>
    <mergeCell ref="B115:C115"/>
    <mergeCell ref="B116:C116"/>
    <mergeCell ref="D116:H116"/>
    <mergeCell ref="B117:C117"/>
    <mergeCell ref="B118:C118"/>
    <mergeCell ref="B120:C120"/>
    <mergeCell ref="B121:C121"/>
    <mergeCell ref="B123:C123"/>
    <mergeCell ref="B124:C124"/>
    <mergeCell ref="B125:C125"/>
    <mergeCell ref="B126:C126"/>
    <mergeCell ref="B127:C127"/>
    <mergeCell ref="B128:C128"/>
    <mergeCell ref="B129:C129"/>
    <mergeCell ref="D129:H129"/>
    <mergeCell ref="B130:C130"/>
    <mergeCell ref="B131:C131"/>
    <mergeCell ref="B132:C132"/>
    <mergeCell ref="B133:C133"/>
    <mergeCell ref="B134:C134"/>
    <mergeCell ref="B135:C135"/>
    <mergeCell ref="B136:C136"/>
    <mergeCell ref="B137:C137"/>
    <mergeCell ref="B138:C138"/>
    <mergeCell ref="B139:C139"/>
    <mergeCell ref="D139:H139"/>
    <mergeCell ref="B140:C140"/>
    <mergeCell ref="B141:C141"/>
    <mergeCell ref="B142:C142"/>
    <mergeCell ref="B143:C143"/>
    <mergeCell ref="B144:C144"/>
    <mergeCell ref="B145:C145"/>
    <mergeCell ref="B146:C146"/>
    <mergeCell ref="B147:C147"/>
    <mergeCell ref="D147:H147"/>
    <mergeCell ref="B148:C148"/>
    <mergeCell ref="B149:C149"/>
    <mergeCell ref="B150:C150"/>
    <mergeCell ref="B151:C151"/>
    <mergeCell ref="D151:H151"/>
    <mergeCell ref="B152:C152"/>
    <mergeCell ref="B153:C153"/>
    <mergeCell ref="B154:C154"/>
    <mergeCell ref="B155:C155"/>
    <mergeCell ref="B156:C156"/>
    <mergeCell ref="B158:C158"/>
    <mergeCell ref="D158:H158"/>
    <mergeCell ref="B159:C159"/>
    <mergeCell ref="B160:C160"/>
    <mergeCell ref="B161:C161"/>
    <mergeCell ref="D161:H161"/>
    <mergeCell ref="B162:C162"/>
    <mergeCell ref="B163:C163"/>
    <mergeCell ref="B165:C165"/>
    <mergeCell ref="B166:C166"/>
    <mergeCell ref="D166:H166"/>
    <mergeCell ref="B167:C167"/>
    <mergeCell ref="B169:C169"/>
    <mergeCell ref="B170:C170"/>
    <mergeCell ref="B171:C171"/>
    <mergeCell ref="B172:C172"/>
    <mergeCell ref="B173:C173"/>
    <mergeCell ref="B174:C174"/>
    <mergeCell ref="B175:C175"/>
    <mergeCell ref="A176:A258"/>
    <mergeCell ref="B176:C176"/>
    <mergeCell ref="B177:C177"/>
    <mergeCell ref="D177:H177"/>
    <mergeCell ref="B178:C178"/>
    <mergeCell ref="B179:C179"/>
    <mergeCell ref="B180:C180"/>
    <mergeCell ref="B181:C181"/>
    <mergeCell ref="B182:C182"/>
    <mergeCell ref="B183:C183"/>
    <mergeCell ref="D183:H183"/>
    <mergeCell ref="B184:C184"/>
    <mergeCell ref="B185:C185"/>
    <mergeCell ref="D185:H185"/>
    <mergeCell ref="B188:C188"/>
    <mergeCell ref="B189:C189"/>
    <mergeCell ref="D189:H189"/>
    <mergeCell ref="B190:C190"/>
    <mergeCell ref="B192:C192"/>
    <mergeCell ref="D192:H192"/>
    <mergeCell ref="B193:C193"/>
    <mergeCell ref="B194:C194"/>
    <mergeCell ref="B195:C195"/>
    <mergeCell ref="B196:C196"/>
    <mergeCell ref="D196:H196"/>
    <mergeCell ref="B197:C197"/>
    <mergeCell ref="B198:C198"/>
    <mergeCell ref="B199:C199"/>
    <mergeCell ref="D199:H199"/>
    <mergeCell ref="B200:C200"/>
    <mergeCell ref="B201:C201"/>
    <mergeCell ref="B203:C203"/>
    <mergeCell ref="B204:C204"/>
    <mergeCell ref="B206:C206"/>
    <mergeCell ref="B207:C207"/>
    <mergeCell ref="B208:C208"/>
    <mergeCell ref="B209:C209"/>
    <mergeCell ref="B210:C210"/>
    <mergeCell ref="B211:C211"/>
    <mergeCell ref="B212:C212"/>
    <mergeCell ref="D212:H212"/>
    <mergeCell ref="B213:C213"/>
    <mergeCell ref="B214:C214"/>
    <mergeCell ref="B215:C215"/>
    <mergeCell ref="B216:C216"/>
    <mergeCell ref="B217:C217"/>
    <mergeCell ref="B218:C218"/>
    <mergeCell ref="B219:C219"/>
    <mergeCell ref="B220:C220"/>
    <mergeCell ref="B221:C221"/>
    <mergeCell ref="B222:C222"/>
    <mergeCell ref="D222:H222"/>
    <mergeCell ref="B223:C223"/>
    <mergeCell ref="B224:C224"/>
    <mergeCell ref="B225:C225"/>
    <mergeCell ref="B226:C226"/>
    <mergeCell ref="B227:C227"/>
    <mergeCell ref="B228:C228"/>
    <mergeCell ref="B229:C229"/>
    <mergeCell ref="B230:C230"/>
    <mergeCell ref="D230:H230"/>
    <mergeCell ref="B231:C231"/>
    <mergeCell ref="B232:C232"/>
    <mergeCell ref="B233:C233"/>
    <mergeCell ref="B234:C234"/>
    <mergeCell ref="D234:H234"/>
    <mergeCell ref="B235:C235"/>
    <mergeCell ref="B236:C236"/>
    <mergeCell ref="B237:C237"/>
    <mergeCell ref="B238:C238"/>
    <mergeCell ref="B239:C239"/>
    <mergeCell ref="B241:C241"/>
    <mergeCell ref="D241:H241"/>
    <mergeCell ref="B242:C242"/>
    <mergeCell ref="B243:C243"/>
    <mergeCell ref="B244:C244"/>
    <mergeCell ref="D244:H244"/>
    <mergeCell ref="B245:C245"/>
    <mergeCell ref="B246:C246"/>
    <mergeCell ref="B248:C248"/>
    <mergeCell ref="B249:C249"/>
    <mergeCell ref="D249:H249"/>
    <mergeCell ref="B250:C250"/>
    <mergeCell ref="B252:C252"/>
    <mergeCell ref="B253:C253"/>
    <mergeCell ref="B254:C254"/>
    <mergeCell ref="B255:C255"/>
    <mergeCell ref="B256:C256"/>
    <mergeCell ref="B257:C257"/>
    <mergeCell ref="B258:C258"/>
    <mergeCell ref="O9:Q9"/>
    <mergeCell ref="S11:T11"/>
    <mergeCell ref="M99:O99"/>
    <mergeCell ref="Q101:R101"/>
    <mergeCell ref="M180:O180"/>
    <mergeCell ref="Q182:R182"/>
  </mergeCells>
  <printOptions/>
  <pageMargins left="0.43" right="0.21" top="0.71" bottom="0.88" header="0.4724409448818898" footer="0.23"/>
  <pageSetup fitToHeight="18" horizontalDpi="300" verticalDpi="300" orientation="landscape" paperSize="14" scale="68" r:id="rId3"/>
  <headerFooter alignWithMargins="0">
    <oddHeader>&amp;LSEPT - 2004&amp;CDIRECTIVA D.B.S.A.
ORDINARIO&amp;R01-BS/0305/04</oddHeader>
    <oddFooter>&amp;LDEPARTAMENTO 
RRHH Y GESTION&amp;C01-BS&amp;RPAG &amp;P</oddFooter>
  </headerFooter>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C95"/>
  <sheetViews>
    <sheetView showGridLines="0" zoomScale="90" zoomScaleNormal="90" zoomScalePageLayoutView="0" workbookViewId="0" topLeftCell="A1">
      <selection activeCell="B5" sqref="B5"/>
    </sheetView>
  </sheetViews>
  <sheetFormatPr defaultColWidth="11.421875" defaultRowHeight="12.75"/>
  <cols>
    <col min="1" max="1" width="56.28125" style="1" customWidth="1"/>
    <col min="2" max="2" width="20.57421875" style="1" customWidth="1"/>
    <col min="3" max="3" width="13.140625" style="38" customWidth="1"/>
    <col min="4" max="4" width="25.421875" style="1" customWidth="1"/>
    <col min="5" max="16384" width="11.421875" style="1" customWidth="1"/>
  </cols>
  <sheetData>
    <row r="1" spans="1:3" ht="13.5">
      <c r="A1" s="343" t="s">
        <v>0</v>
      </c>
      <c r="B1" s="343"/>
      <c r="C1" s="3"/>
    </row>
    <row r="2" spans="1:3" ht="13.5">
      <c r="A2" s="343" t="s">
        <v>29</v>
      </c>
      <c r="B2" s="343"/>
      <c r="C2" s="3"/>
    </row>
    <row r="3" spans="1:3" ht="13.5">
      <c r="A3" s="343" t="s">
        <v>46</v>
      </c>
      <c r="B3" s="343"/>
      <c r="C3" s="4"/>
    </row>
    <row r="4" ht="6.75" customHeight="1">
      <c r="A4" s="4"/>
    </row>
    <row r="5" spans="1:3" ht="13.5">
      <c r="A5" s="5" t="s">
        <v>47</v>
      </c>
      <c r="B5" s="34" t="str">
        <f>'Ap. 2 Ingresos C. Benef.'!$I$5</f>
        <v>BIENTALC</v>
      </c>
      <c r="C5" s="39"/>
    </row>
    <row r="6" ht="13.5">
      <c r="A6" s="4"/>
    </row>
    <row r="7" spans="1:3" ht="13.5">
      <c r="A7" s="40"/>
      <c r="B7" s="35" t="s">
        <v>48</v>
      </c>
      <c r="C7" s="1"/>
    </row>
    <row r="8" spans="1:3" ht="13.5">
      <c r="A8" s="41" t="s">
        <v>49</v>
      </c>
      <c r="B8" s="42" t="s">
        <v>38</v>
      </c>
      <c r="C8" s="1"/>
    </row>
    <row r="9" spans="1:3" ht="13.5">
      <c r="A9" s="60" t="s">
        <v>45</v>
      </c>
      <c r="B9" s="340">
        <f>+B10+B20</f>
        <v>13877356.826411998</v>
      </c>
      <c r="C9" s="1"/>
    </row>
    <row r="10" spans="1:3" ht="13.5">
      <c r="A10" s="73" t="s">
        <v>121</v>
      </c>
      <c r="B10" s="74">
        <f>SUM(B11:B19)</f>
        <v>13877356.826411998</v>
      </c>
      <c r="C10" s="1"/>
    </row>
    <row r="11" spans="1:3" ht="13.5">
      <c r="A11" s="75" t="s">
        <v>141</v>
      </c>
      <c r="B11" s="464">
        <f>+'Ap. 6 Remuneraciones'!P27</f>
        <v>13877356.826411998</v>
      </c>
      <c r="C11" s="1"/>
    </row>
    <row r="12" spans="1:3" ht="13.5">
      <c r="A12" s="75" t="s">
        <v>142</v>
      </c>
      <c r="B12" s="464">
        <v>0</v>
      </c>
      <c r="C12" s="1"/>
    </row>
    <row r="13" spans="1:3" ht="13.5">
      <c r="A13" s="75" t="s">
        <v>143</v>
      </c>
      <c r="B13" s="464">
        <v>0</v>
      </c>
      <c r="C13" s="1"/>
    </row>
    <row r="14" spans="1:3" ht="13.5">
      <c r="A14" s="75" t="s">
        <v>144</v>
      </c>
      <c r="B14" s="464">
        <v>0</v>
      </c>
      <c r="C14" s="1"/>
    </row>
    <row r="15" spans="1:3" ht="13.5">
      <c r="A15" s="465" t="s">
        <v>140</v>
      </c>
      <c r="B15" s="464">
        <v>0</v>
      </c>
      <c r="C15" s="1"/>
    </row>
    <row r="16" spans="1:3" ht="13.5">
      <c r="A16" s="75" t="s">
        <v>145</v>
      </c>
      <c r="B16" s="464">
        <v>0</v>
      </c>
      <c r="C16" s="1"/>
    </row>
    <row r="17" spans="1:3" ht="13.5">
      <c r="A17" s="75" t="s">
        <v>146</v>
      </c>
      <c r="B17" s="464">
        <v>0</v>
      </c>
      <c r="C17" s="1"/>
    </row>
    <row r="18" spans="1:3" ht="13.5">
      <c r="A18" s="75" t="s">
        <v>147</v>
      </c>
      <c r="B18" s="464">
        <v>0</v>
      </c>
      <c r="C18" s="1"/>
    </row>
    <row r="19" spans="1:3" ht="13.5">
      <c r="A19" s="75" t="s">
        <v>148</v>
      </c>
      <c r="B19" s="464">
        <v>0</v>
      </c>
      <c r="C19" s="1"/>
    </row>
    <row r="20" spans="1:3" ht="13.5">
      <c r="A20" s="76" t="s">
        <v>71</v>
      </c>
      <c r="B20" s="74">
        <f>SUM(B22,B24,B26,B28:B31,B33:B34,B36:B39,B41:B49,B51:B53)</f>
        <v>0</v>
      </c>
      <c r="C20" s="1"/>
    </row>
    <row r="21" spans="1:3" ht="13.5">
      <c r="A21" s="466" t="s">
        <v>72</v>
      </c>
      <c r="B21" s="467"/>
      <c r="C21" s="1"/>
    </row>
    <row r="22" spans="1:3" ht="13.5">
      <c r="A22" s="75" t="s">
        <v>149</v>
      </c>
      <c r="B22" s="464">
        <v>0</v>
      </c>
      <c r="C22" s="1"/>
    </row>
    <row r="23" spans="1:3" ht="13.5">
      <c r="A23" s="466" t="s">
        <v>74</v>
      </c>
      <c r="B23" s="467"/>
      <c r="C23" s="1"/>
    </row>
    <row r="24" spans="1:3" ht="13.5">
      <c r="A24" s="75" t="s">
        <v>150</v>
      </c>
      <c r="B24" s="464">
        <v>0</v>
      </c>
      <c r="C24" s="1"/>
    </row>
    <row r="25" spans="1:3" ht="13.5">
      <c r="A25" s="466" t="s">
        <v>77</v>
      </c>
      <c r="B25" s="467"/>
      <c r="C25" s="1"/>
    </row>
    <row r="26" spans="1:3" ht="13.5">
      <c r="A26" s="77" t="s">
        <v>151</v>
      </c>
      <c r="B26" s="468">
        <v>0</v>
      </c>
      <c r="C26" s="1"/>
    </row>
    <row r="27" spans="1:3" ht="13.5">
      <c r="A27" s="414" t="s">
        <v>113</v>
      </c>
      <c r="B27" s="415"/>
      <c r="C27" s="1"/>
    </row>
    <row r="28" spans="1:3" ht="13.5">
      <c r="A28" s="75" t="s">
        <v>152</v>
      </c>
      <c r="B28" s="464">
        <v>0</v>
      </c>
      <c r="C28" s="1"/>
    </row>
    <row r="29" spans="1:3" ht="13.5">
      <c r="A29" s="75" t="s">
        <v>153</v>
      </c>
      <c r="B29" s="464">
        <v>0</v>
      </c>
      <c r="C29" s="1"/>
    </row>
    <row r="30" spans="1:3" ht="13.5">
      <c r="A30" s="75" t="s">
        <v>154</v>
      </c>
      <c r="B30" s="464">
        <v>0</v>
      </c>
      <c r="C30" s="1"/>
    </row>
    <row r="31" spans="1:3" ht="13.5">
      <c r="A31" s="75" t="s">
        <v>155</v>
      </c>
      <c r="B31" s="464">
        <v>0</v>
      </c>
      <c r="C31" s="1"/>
    </row>
    <row r="32" spans="1:3" ht="13.5">
      <c r="A32" s="414" t="s">
        <v>118</v>
      </c>
      <c r="B32" s="415"/>
      <c r="C32" s="1"/>
    </row>
    <row r="33" spans="1:3" ht="13.5">
      <c r="A33" s="75" t="s">
        <v>156</v>
      </c>
      <c r="B33" s="464">
        <v>0</v>
      </c>
      <c r="C33" s="1"/>
    </row>
    <row r="34" spans="1:3" ht="13.5">
      <c r="A34" s="469" t="s">
        <v>126</v>
      </c>
      <c r="B34" s="464"/>
      <c r="C34" s="1"/>
    </row>
    <row r="35" spans="1:3" ht="13.5">
      <c r="A35" s="466" t="s">
        <v>80</v>
      </c>
      <c r="B35" s="467"/>
      <c r="C35" s="1"/>
    </row>
    <row r="36" spans="1:3" ht="13.5">
      <c r="A36" s="75" t="s">
        <v>157</v>
      </c>
      <c r="B36" s="464">
        <v>0</v>
      </c>
      <c r="C36" s="1"/>
    </row>
    <row r="37" spans="1:3" ht="13.5">
      <c r="A37" s="75" t="s">
        <v>158</v>
      </c>
      <c r="B37" s="464">
        <v>0</v>
      </c>
      <c r="C37" s="1"/>
    </row>
    <row r="38" spans="1:3" ht="13.5">
      <c r="A38" s="75" t="s">
        <v>159</v>
      </c>
      <c r="B38" s="464">
        <v>0</v>
      </c>
      <c r="C38" s="1"/>
    </row>
    <row r="39" spans="1:3" ht="13.5">
      <c r="A39" s="75" t="s">
        <v>160</v>
      </c>
      <c r="B39" s="464">
        <v>0</v>
      </c>
      <c r="C39" s="1"/>
    </row>
    <row r="40" spans="1:3" ht="13.5">
      <c r="A40" s="466" t="s">
        <v>88</v>
      </c>
      <c r="B40" s="467"/>
      <c r="C40" s="1"/>
    </row>
    <row r="41" spans="1:3" ht="13.5">
      <c r="A41" s="75" t="s">
        <v>161</v>
      </c>
      <c r="B41" s="464">
        <v>0</v>
      </c>
      <c r="C41" s="1"/>
    </row>
    <row r="42" spans="1:3" ht="13.5">
      <c r="A42" s="75" t="s">
        <v>162</v>
      </c>
      <c r="B42" s="464">
        <v>0</v>
      </c>
      <c r="C42" s="1"/>
    </row>
    <row r="43" spans="1:3" ht="13.5">
      <c r="A43" s="75" t="s">
        <v>163</v>
      </c>
      <c r="B43" s="464">
        <v>0</v>
      </c>
      <c r="C43" s="1"/>
    </row>
    <row r="44" spans="1:3" ht="13.5">
      <c r="A44" s="75" t="s">
        <v>164</v>
      </c>
      <c r="B44" s="464">
        <v>0</v>
      </c>
      <c r="C44" s="1"/>
    </row>
    <row r="45" spans="1:3" ht="13.5">
      <c r="A45" s="75" t="s">
        <v>165</v>
      </c>
      <c r="B45" s="464">
        <v>0</v>
      </c>
      <c r="C45" s="1"/>
    </row>
    <row r="46" spans="1:3" ht="13.5">
      <c r="A46" s="75" t="s">
        <v>166</v>
      </c>
      <c r="B46" s="464">
        <v>0</v>
      </c>
      <c r="C46" s="1"/>
    </row>
    <row r="47" spans="1:3" ht="13.5">
      <c r="A47" s="75" t="s">
        <v>167</v>
      </c>
      <c r="B47" s="464">
        <v>0</v>
      </c>
      <c r="C47" s="1"/>
    </row>
    <row r="48" spans="1:3" ht="13.5">
      <c r="A48" s="75" t="s">
        <v>168</v>
      </c>
      <c r="B48" s="464">
        <v>0</v>
      </c>
      <c r="C48" s="1"/>
    </row>
    <row r="49" spans="1:3" ht="13.5">
      <c r="A49" s="75" t="s">
        <v>169</v>
      </c>
      <c r="B49" s="464">
        <v>0</v>
      </c>
      <c r="C49" s="1"/>
    </row>
    <row r="50" spans="1:3" ht="13.5">
      <c r="A50" s="414" t="s">
        <v>103</v>
      </c>
      <c r="B50" s="415"/>
      <c r="C50" s="1"/>
    </row>
    <row r="51" spans="1:3" ht="13.5">
      <c r="A51" s="75" t="s">
        <v>170</v>
      </c>
      <c r="B51" s="464">
        <v>0</v>
      </c>
      <c r="C51" s="1"/>
    </row>
    <row r="52" spans="1:3" ht="13.5">
      <c r="A52" s="75" t="s">
        <v>171</v>
      </c>
      <c r="B52" s="464">
        <v>0</v>
      </c>
      <c r="C52" s="1"/>
    </row>
    <row r="53" spans="1:2" ht="13.5">
      <c r="A53" s="75" t="s">
        <v>172</v>
      </c>
      <c r="B53" s="464">
        <v>0</v>
      </c>
    </row>
    <row r="54" spans="1:2" ht="13.5">
      <c r="A54" s="79"/>
      <c r="B54" s="470"/>
    </row>
    <row r="55" spans="1:2" ht="13.5">
      <c r="A55" s="78"/>
      <c r="B55" s="470"/>
    </row>
    <row r="56" spans="1:2" ht="13.5">
      <c r="A56" s="80"/>
      <c r="B56" s="80"/>
    </row>
    <row r="57" spans="1:2" ht="13.5">
      <c r="A57" s="80"/>
      <c r="B57" s="80"/>
    </row>
    <row r="58" spans="1:2" ht="13.5">
      <c r="A58" s="80"/>
      <c r="B58" s="80"/>
    </row>
    <row r="59" spans="1:2" ht="13.5">
      <c r="A59" s="80"/>
      <c r="B59" s="80"/>
    </row>
    <row r="60" spans="1:2" ht="13.5">
      <c r="A60" s="80"/>
      <c r="B60" s="80"/>
    </row>
    <row r="61" spans="1:2" ht="13.5">
      <c r="A61" s="80"/>
      <c r="B61" s="80"/>
    </row>
    <row r="62" spans="1:2" ht="13.5">
      <c r="A62" s="80"/>
      <c r="B62" s="80"/>
    </row>
    <row r="63" spans="1:2" ht="13.5">
      <c r="A63" s="80"/>
      <c r="B63" s="80"/>
    </row>
    <row r="64" spans="1:2" ht="13.5">
      <c r="A64" s="80"/>
      <c r="B64" s="80"/>
    </row>
    <row r="65" spans="1:2" ht="13.5">
      <c r="A65" s="80"/>
      <c r="B65" s="80"/>
    </row>
    <row r="66" spans="1:2" ht="13.5">
      <c r="A66" s="80"/>
      <c r="B66" s="80"/>
    </row>
    <row r="67" spans="1:2" ht="13.5">
      <c r="A67" s="80"/>
      <c r="B67" s="80"/>
    </row>
    <row r="68" spans="1:2" ht="13.5">
      <c r="A68" s="80"/>
      <c r="B68" s="80"/>
    </row>
    <row r="69" spans="1:2" ht="13.5">
      <c r="A69" s="80"/>
      <c r="B69" s="80"/>
    </row>
    <row r="70" spans="1:2" ht="13.5">
      <c r="A70" s="80"/>
      <c r="B70" s="80"/>
    </row>
    <row r="71" spans="1:2" ht="13.5">
      <c r="A71" s="80"/>
      <c r="B71" s="80"/>
    </row>
    <row r="72" spans="1:2" ht="13.5">
      <c r="A72" s="80"/>
      <c r="B72" s="80"/>
    </row>
    <row r="73" spans="1:2" ht="13.5">
      <c r="A73" s="80"/>
      <c r="B73" s="80"/>
    </row>
    <row r="74" spans="1:2" ht="13.5">
      <c r="A74" s="80"/>
      <c r="B74" s="80"/>
    </row>
    <row r="75" spans="1:2" ht="13.5">
      <c r="A75" s="80"/>
      <c r="B75" s="80"/>
    </row>
    <row r="76" spans="1:2" ht="13.5">
      <c r="A76" s="80"/>
      <c r="B76" s="80"/>
    </row>
    <row r="77" spans="1:2" ht="13.5">
      <c r="A77" s="80"/>
      <c r="B77" s="80"/>
    </row>
    <row r="78" spans="1:2" ht="13.5">
      <c r="A78" s="80"/>
      <c r="B78" s="80"/>
    </row>
    <row r="79" spans="1:2" ht="13.5">
      <c r="A79" s="80"/>
      <c r="B79" s="80"/>
    </row>
    <row r="80" spans="1:2" ht="13.5">
      <c r="A80" s="80"/>
      <c r="B80" s="80"/>
    </row>
    <row r="81" spans="1:2" ht="13.5">
      <c r="A81" s="80"/>
      <c r="B81" s="80"/>
    </row>
    <row r="82" spans="1:2" ht="13.5">
      <c r="A82" s="80"/>
      <c r="B82" s="80"/>
    </row>
    <row r="83" spans="1:2" ht="13.5">
      <c r="A83" s="80"/>
      <c r="B83" s="80"/>
    </row>
    <row r="84" spans="1:2" ht="13.5">
      <c r="A84" s="80"/>
      <c r="B84" s="80"/>
    </row>
    <row r="85" spans="1:2" ht="13.5">
      <c r="A85" s="80"/>
      <c r="B85" s="80"/>
    </row>
    <row r="86" spans="1:2" ht="13.5">
      <c r="A86" s="80"/>
      <c r="B86" s="80"/>
    </row>
    <row r="87" spans="1:2" ht="13.5">
      <c r="A87" s="80"/>
      <c r="B87" s="80"/>
    </row>
    <row r="88" spans="1:2" ht="13.5">
      <c r="A88" s="80"/>
      <c r="B88" s="80"/>
    </row>
    <row r="89" spans="1:2" ht="13.5">
      <c r="A89" s="80"/>
      <c r="B89" s="80"/>
    </row>
    <row r="90" spans="1:2" ht="13.5">
      <c r="A90" s="80"/>
      <c r="B90" s="80"/>
    </row>
    <row r="91" spans="1:2" ht="13.5">
      <c r="A91" s="80"/>
      <c r="B91" s="80"/>
    </row>
    <row r="92" spans="1:2" ht="13.5">
      <c r="A92" s="80"/>
      <c r="B92" s="80"/>
    </row>
    <row r="93" spans="1:2" ht="13.5">
      <c r="A93" s="80"/>
      <c r="B93" s="80"/>
    </row>
    <row r="94" spans="1:2" ht="13.5">
      <c r="A94" s="80"/>
      <c r="B94" s="80"/>
    </row>
    <row r="95" spans="1:2" ht="13.5">
      <c r="A95" s="80"/>
      <c r="B95" s="80"/>
    </row>
  </sheetData>
  <sheetProtection password="C581" sheet="1" objects="1" scenarios="1"/>
  <mergeCells count="11">
    <mergeCell ref="A32:B32"/>
    <mergeCell ref="A1:B1"/>
    <mergeCell ref="A2:B2"/>
    <mergeCell ref="A3:B3"/>
    <mergeCell ref="A35:B35"/>
    <mergeCell ref="A40:B40"/>
    <mergeCell ref="A50:B50"/>
    <mergeCell ref="A21:B21"/>
    <mergeCell ref="A23:B23"/>
    <mergeCell ref="A25:B25"/>
    <mergeCell ref="A27:B27"/>
  </mergeCells>
  <printOptions/>
  <pageMargins left="1.4097222222222223" right="0.5701388888888889" top="0.8604166666666666" bottom="0.8298611111111112" header="0.4201388888888889" footer="0"/>
  <pageSetup fitToHeight="1" fitToWidth="1" horizontalDpi="300" verticalDpi="300" orientation="portrait" r:id="rId1"/>
  <headerFooter alignWithMargins="0">
    <oddHeader>&amp;LSEPT-2004&amp;CDIRECTIVA D.B.S.A.
ORDINARIO&amp;R01-BS/0305/04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codeName="Hoja3"/>
  <dimension ref="A1:IV12"/>
  <sheetViews>
    <sheetView showGridLines="0" zoomScalePageLayoutView="0" workbookViewId="0" topLeftCell="A1">
      <selection activeCell="C5" sqref="C5:D5"/>
    </sheetView>
  </sheetViews>
  <sheetFormatPr defaultColWidth="11.421875" defaultRowHeight="12.75"/>
  <cols>
    <col min="1" max="1" width="30.00390625" style="1" customWidth="1"/>
    <col min="2" max="2" width="21.28125" style="1" customWidth="1"/>
    <col min="3" max="3" width="14.57421875" style="1" customWidth="1"/>
    <col min="4" max="4" width="12.140625" style="1" customWidth="1"/>
    <col min="5" max="5" width="13.00390625" style="1" customWidth="1"/>
    <col min="6" max="6" width="11.7109375" style="1" customWidth="1"/>
    <col min="7" max="7" width="12.28125" style="1" customWidth="1"/>
    <col min="8" max="8" width="9.8515625" style="1" customWidth="1"/>
    <col min="9" max="9" width="9.7109375" style="1" customWidth="1"/>
    <col min="10" max="10" width="10.57421875" style="1" customWidth="1"/>
    <col min="11" max="11" width="16.28125" style="1" customWidth="1"/>
    <col min="12" max="16384" width="11.421875" style="1" customWidth="1"/>
  </cols>
  <sheetData>
    <row r="1" spans="1:256" s="4" customFormat="1" ht="13.5">
      <c r="A1" s="343" t="s">
        <v>0</v>
      </c>
      <c r="B1" s="343"/>
      <c r="C1" s="343"/>
      <c r="D1" s="343"/>
      <c r="E1" s="343"/>
      <c r="F1" s="343"/>
      <c r="G1" s="343"/>
      <c r="H1" s="2"/>
      <c r="I1" s="2"/>
      <c r="J1" s="2"/>
      <c r="K1" s="3"/>
      <c r="IO1" s="1"/>
      <c r="IP1" s="1"/>
      <c r="IQ1" s="1"/>
      <c r="IR1" s="1"/>
      <c r="IS1" s="1"/>
      <c r="IT1" s="1"/>
      <c r="IU1" s="1"/>
      <c r="IV1" s="1"/>
    </row>
    <row r="2" spans="1:256" s="4" customFormat="1" ht="15.75" customHeight="1">
      <c r="A2" s="343" t="s">
        <v>50</v>
      </c>
      <c r="B2" s="343"/>
      <c r="C2" s="343"/>
      <c r="D2" s="343"/>
      <c r="E2" s="343"/>
      <c r="F2" s="343"/>
      <c r="G2" s="343"/>
      <c r="H2" s="2"/>
      <c r="I2" s="2"/>
      <c r="J2" s="2"/>
      <c r="K2" s="3"/>
      <c r="IO2" s="1"/>
      <c r="IP2" s="1"/>
      <c r="IQ2" s="1"/>
      <c r="IR2" s="1"/>
      <c r="IS2" s="1"/>
      <c r="IT2" s="1"/>
      <c r="IU2" s="1"/>
      <c r="IV2" s="1"/>
    </row>
    <row r="3" spans="1:256" s="4" customFormat="1" ht="18" customHeight="1">
      <c r="A3" s="343" t="s">
        <v>51</v>
      </c>
      <c r="B3" s="343"/>
      <c r="C3" s="343"/>
      <c r="D3" s="343"/>
      <c r="E3" s="343"/>
      <c r="F3" s="343"/>
      <c r="G3" s="343"/>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7" t="s">
        <v>3</v>
      </c>
      <c r="B5" s="6"/>
      <c r="C5" s="420" t="str">
        <f>'Ap. 2 Ingresos C. Benef.'!$I$5</f>
        <v>BIENTALC</v>
      </c>
      <c r="D5" s="420"/>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0" customFormat="1" ht="16.5" customHeight="1">
      <c r="A7" s="18"/>
      <c r="B7" s="18"/>
      <c r="C7" s="19"/>
      <c r="D7" s="19"/>
      <c r="E7" s="19"/>
      <c r="F7" s="19"/>
      <c r="G7" s="19"/>
      <c r="H7" s="278">
        <v>2018</v>
      </c>
      <c r="I7" s="19"/>
      <c r="L7" s="20">
        <v>2017</v>
      </c>
      <c r="IO7" s="31"/>
      <c r="IP7" s="31"/>
      <c r="IQ7" s="31"/>
      <c r="IR7" s="31"/>
      <c r="IS7" s="31"/>
      <c r="IT7" s="31"/>
      <c r="IU7" s="31"/>
      <c r="IV7" s="31"/>
    </row>
    <row r="8" spans="1:18" ht="12.75" customHeight="1">
      <c r="A8" s="418" t="str">
        <f>'Ap. 2 Ingresos C. Benef.'!A16</f>
        <v>Centro Beneficio</v>
      </c>
      <c r="B8" s="418" t="str">
        <f>'Ap. 2 Ingresos C. Benef.'!B16</f>
        <v>Prestación [Unidad]</v>
      </c>
      <c r="C8" s="359" t="str">
        <f>'Ap. 2 Ingresos C. Benef.'!D16</f>
        <v>matriculas/ mensualidades especiales</v>
      </c>
      <c r="D8" s="359"/>
      <c r="E8" s="359"/>
      <c r="F8" s="359"/>
      <c r="G8" s="362" t="str">
        <f>'Ap. 2 Ingresos C. Benef.'!H16</f>
        <v>Mensualidad</v>
      </c>
      <c r="H8" s="362"/>
      <c r="I8" s="362"/>
      <c r="J8" s="362"/>
      <c r="K8" s="416" t="str">
        <f>G8</f>
        <v>Mensualidad</v>
      </c>
      <c r="L8" s="416"/>
      <c r="M8" s="416"/>
      <c r="N8" s="416"/>
      <c r="O8" s="417" t="s">
        <v>276</v>
      </c>
      <c r="P8" s="417"/>
      <c r="Q8" s="417"/>
      <c r="R8" s="417"/>
    </row>
    <row r="9" spans="1:18" ht="41.25">
      <c r="A9" s="419">
        <f>'Ap. 2 Ingresos C. Benef.'!A17</f>
        <v>0</v>
      </c>
      <c r="B9" s="419">
        <f>'Ap. 2 Ingresos C. Benef.'!B17</f>
        <v>0</v>
      </c>
      <c r="C9" s="59" t="str">
        <f>'Ap. 2 Ingresos C. Benef.'!D17</f>
        <v>Personal Servicio Activo</v>
      </c>
      <c r="D9" s="59" t="str">
        <f>'Ap. 2 Ingresos C. Benef.'!E17</f>
        <v>Otras Ramas</v>
      </c>
      <c r="E9" s="59" t="str">
        <f>'Ap. 2 Ingresos C. Benef.'!F17</f>
        <v>Personal en Retiro</v>
      </c>
      <c r="F9" s="59" t="str">
        <f>'Ap. 2 Ingresos C. Benef.'!G17</f>
        <v>Casos Especiales</v>
      </c>
      <c r="G9" s="59" t="str">
        <f>'Ap. 2 Ingresos C. Benef.'!H17</f>
        <v>Personal Servicio Activo</v>
      </c>
      <c r="H9" s="59" t="str">
        <f>'Ap. 2 Ingresos C. Benef.'!I17</f>
        <v>PDI/ Gendarmeria</v>
      </c>
      <c r="I9" s="59" t="str">
        <f>'Ap. 2 Ingresos C. Benef.'!J17</f>
        <v>Personal en Retiro</v>
      </c>
      <c r="J9" s="59" t="str">
        <f>'Ap. 2 Ingresos C. Benef.'!K17</f>
        <v>Casos Especiales</v>
      </c>
      <c r="K9" s="59" t="s">
        <v>58</v>
      </c>
      <c r="L9" s="59" t="s">
        <v>241</v>
      </c>
      <c r="M9" s="59" t="s">
        <v>60</v>
      </c>
      <c r="N9" s="59" t="s">
        <v>18</v>
      </c>
      <c r="O9" s="59" t="s">
        <v>58</v>
      </c>
      <c r="P9" s="59" t="s">
        <v>241</v>
      </c>
      <c r="Q9" s="59" t="s">
        <v>60</v>
      </c>
      <c r="R9" s="59" t="s">
        <v>18</v>
      </c>
    </row>
    <row r="10" spans="1:18" ht="13.5">
      <c r="A10" s="81" t="str">
        <f>'Ap. 2 Ingresos C. Benef.'!$A$18</f>
        <v>SALA CUNA "BURBUJITA DE MAR"</v>
      </c>
      <c r="B10" s="111" t="str">
        <f>'Ap. 2 Ingresos C. Benef.'!$B$18</f>
        <v>Sala Cuna [Diurna] 36</v>
      </c>
      <c r="C10" s="43">
        <v>0</v>
      </c>
      <c r="D10" s="43">
        <f>'Ap. 2 Ingresos C. Benef.'!$E$18</f>
        <v>0</v>
      </c>
      <c r="E10" s="43">
        <f>'Ap. 2 Ingresos C. Benef.'!$F$18</f>
        <v>0</v>
      </c>
      <c r="F10" s="43">
        <f>'Ap. 2 Ingresos C. Benef.'!$G$18</f>
        <v>0</v>
      </c>
      <c r="G10" s="43">
        <f>'Ap. 2 Ingresos C. Benef.'!$H$18</f>
        <v>231600</v>
      </c>
      <c r="H10" s="43">
        <f>'Ap. 2 Ingresos C. Benef.'!$I$18</f>
        <v>277800</v>
      </c>
      <c r="I10" s="43">
        <f>'Ap. 2 Ingresos C. Benef.'!$J$18</f>
        <v>253200</v>
      </c>
      <c r="J10" s="43">
        <f>'Ap. 2 Ingresos C. Benef.'!$K$18</f>
        <v>295700</v>
      </c>
      <c r="K10" s="122">
        <f>'Ap. 2 Ingresos C. Benef.'!C38</f>
        <v>216400</v>
      </c>
      <c r="L10" s="122">
        <f>'Ap. 2 Ingresos C. Benef.'!C39</f>
        <v>259600</v>
      </c>
      <c r="M10" s="122">
        <f>'Ap. 2 Ingresos C. Benef.'!C40</f>
        <v>236600</v>
      </c>
      <c r="N10" s="122">
        <f>'Ap. 2 Ingresos C. Benef.'!C41</f>
        <v>276300</v>
      </c>
      <c r="O10" s="279">
        <f>G10-K10</f>
        <v>15200</v>
      </c>
      <c r="P10" s="279">
        <f>H10-L10</f>
        <v>18200</v>
      </c>
      <c r="Q10" s="279">
        <f>I10-M10</f>
        <v>16600</v>
      </c>
      <c r="R10" s="279">
        <f>J10-N10</f>
        <v>19400</v>
      </c>
    </row>
    <row r="11" spans="1:18" ht="27">
      <c r="A11" s="81" t="str">
        <f>'Ap. 2 Ingresos C. Benef.'!$A$22</f>
        <v>SALA CUNA "BURBUJITA DE MAR" (NOCTURNA)</v>
      </c>
      <c r="B11" s="111" t="str">
        <f>'Ap. 2 Ingresos C. Benef.'!$B$22</f>
        <v>Sala Cuna [Nocturna] 25</v>
      </c>
      <c r="C11" s="43">
        <f>'Ap. 2 Ingresos C. Benef.'!$D$22</f>
        <v>0</v>
      </c>
      <c r="D11" s="43">
        <f>'Ap. 2 Ingresos C. Benef.'!$E$22</f>
        <v>0</v>
      </c>
      <c r="E11" s="43">
        <f>'Ap. 2 Ingresos C. Benef.'!$F$22</f>
        <v>0</v>
      </c>
      <c r="F11" s="43">
        <f>'Ap. 2 Ingresos C. Benef.'!$G$22</f>
        <v>0</v>
      </c>
      <c r="G11" s="43">
        <f>'Ap. 2 Ingresos C. Benef.'!$H$22</f>
        <v>175200</v>
      </c>
      <c r="H11" s="43">
        <f>'Ap. 2 Ingresos C. Benef.'!$I$22</f>
        <v>0</v>
      </c>
      <c r="I11" s="43">
        <f>'Ap. 2 Ingresos C. Benef.'!$J$22</f>
        <v>0</v>
      </c>
      <c r="J11" s="43">
        <f>'Ap. 2 Ingresos C. Benef.'!$K$22</f>
        <v>0</v>
      </c>
      <c r="K11" s="122">
        <f>'Ap. 2 Ingresos C. Benef.'!C46</f>
        <v>163700</v>
      </c>
      <c r="L11" s="122">
        <v>0</v>
      </c>
      <c r="M11" s="122">
        <v>0</v>
      </c>
      <c r="N11" s="122">
        <v>0</v>
      </c>
      <c r="O11" s="279">
        <f>G11-K11</f>
        <v>11500</v>
      </c>
      <c r="P11" s="279">
        <f>'Ap. 2 Ingresos C. Benef.'!$I$22</f>
        <v>0</v>
      </c>
      <c r="Q11" s="279">
        <f>'Ap. 2 Ingresos C. Benef.'!$J$22</f>
        <v>0</v>
      </c>
      <c r="R11" s="279">
        <f>'Ap. 2 Ingresos C. Benef.'!$K$22</f>
        <v>0</v>
      </c>
    </row>
    <row r="12" spans="1:18" ht="27">
      <c r="A12" s="81" t="str">
        <f>'Ap. 2 Ingresos C. Benef.'!$A$26</f>
        <v>JARDIN INFANTIL "TORTUGUITA MARINA"</v>
      </c>
      <c r="B12" s="111" t="str">
        <f>'Ap. 2 Ingresos C. Benef.'!$B$26</f>
        <v>Jardín [Media Jornada] 20</v>
      </c>
      <c r="C12" s="43">
        <f>'Ap. 2 Ingresos C. Benef.'!$D$26</f>
        <v>51467</v>
      </c>
      <c r="D12" s="43">
        <f>'Ap. 2 Ingresos C. Benef.'!$E$26</f>
        <v>0</v>
      </c>
      <c r="E12" s="43">
        <f>'Ap. 2 Ingresos C. Benef.'!$F$26</f>
        <v>0</v>
      </c>
      <c r="F12" s="43">
        <f>'Ap. 2 Ingresos C. Benef.'!$G$26</f>
        <v>0</v>
      </c>
      <c r="G12" s="43">
        <f>'Ap. 2 Ingresos C. Benef.'!$H$26</f>
        <v>51500</v>
      </c>
      <c r="H12" s="43">
        <f>'Ap. 2 Ingresos C. Benef.'!$I$26</f>
        <v>59200</v>
      </c>
      <c r="I12" s="43">
        <f>'Ap. 2 Ingresos C. Benef.'!$J$26</f>
        <v>70300</v>
      </c>
      <c r="J12" s="43">
        <f>'Ap. 2 Ingresos C. Benef.'!$K$26</f>
        <v>89600</v>
      </c>
      <c r="K12" s="122">
        <f>'Ap. 2 Ingresos C. Benef.'!H38</f>
        <v>48100</v>
      </c>
      <c r="L12" s="122">
        <f>'Ap. 2 Ingresos C. Benef.'!H39</f>
        <v>55300</v>
      </c>
      <c r="M12" s="122">
        <f>'Ap. 2 Ingresos C. Benef.'!H40</f>
        <v>65700</v>
      </c>
      <c r="N12" s="122">
        <f>'Ap. 2 Ingresos C. Benef.'!H41</f>
        <v>83700</v>
      </c>
      <c r="O12" s="279">
        <f>G12-K12</f>
        <v>3400</v>
      </c>
      <c r="P12" s="279">
        <f>H12-L12</f>
        <v>3900</v>
      </c>
      <c r="Q12" s="279">
        <f>I12-M12</f>
        <v>4600</v>
      </c>
      <c r="R12" s="279">
        <f>J12-N12</f>
        <v>5900</v>
      </c>
    </row>
  </sheetData>
  <sheetProtection password="C581" sheet="1" objects="1" scenarios="1"/>
  <mergeCells count="10">
    <mergeCell ref="K8:N8"/>
    <mergeCell ref="O8:R8"/>
    <mergeCell ref="B8:B9"/>
    <mergeCell ref="C8:F8"/>
    <mergeCell ref="G8:J8"/>
    <mergeCell ref="A1:G1"/>
    <mergeCell ref="A2:G2"/>
    <mergeCell ref="A3:G3"/>
    <mergeCell ref="C5:D5"/>
    <mergeCell ref="A8:A9"/>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3:IV28"/>
  <sheetViews>
    <sheetView showGridLines="0" zoomScale="90" zoomScaleNormal="90" zoomScalePageLayoutView="0" workbookViewId="0" topLeftCell="I1">
      <selection activeCell="P7" sqref="P7"/>
    </sheetView>
  </sheetViews>
  <sheetFormatPr defaultColWidth="11.421875" defaultRowHeight="12.75"/>
  <cols>
    <col min="9" max="9" width="12.28125" style="0" bestFit="1" customWidth="1"/>
    <col min="12" max="12" width="15.8515625" style="0" bestFit="1" customWidth="1"/>
    <col min="13" max="13" width="14.140625" style="0" customWidth="1"/>
    <col min="14" max="14" width="14.57421875" style="0" bestFit="1" customWidth="1"/>
    <col min="15" max="15" width="14.140625" style="0" customWidth="1"/>
    <col min="16" max="16" width="14.57421875" style="0" bestFit="1" customWidth="1"/>
    <col min="17" max="17" width="13.7109375" style="0" customWidth="1"/>
    <col min="18" max="18" width="14.57421875" style="0" bestFit="1" customWidth="1"/>
    <col min="19" max="19" width="15.28125" style="0" customWidth="1"/>
    <col min="20" max="20" width="14.57421875" style="0" bestFit="1" customWidth="1"/>
    <col min="21" max="21" width="12.57421875" style="0" customWidth="1"/>
  </cols>
  <sheetData>
    <row r="3" spans="1:256" ht="13.5">
      <c r="A3" s="285"/>
      <c r="B3" s="285"/>
      <c r="C3" s="286"/>
      <c r="D3" s="287"/>
      <c r="E3" s="287"/>
      <c r="F3" s="287"/>
      <c r="G3" s="288"/>
      <c r="H3" s="288"/>
      <c r="I3" s="288"/>
      <c r="J3" s="288"/>
      <c r="K3" s="288"/>
      <c r="L3" s="288"/>
      <c r="M3" s="289" t="s">
        <v>285</v>
      </c>
      <c r="N3" s="290"/>
      <c r="O3" s="291"/>
      <c r="P3" s="291"/>
      <c r="Q3" s="291"/>
      <c r="R3" s="292"/>
      <c r="S3" s="293"/>
      <c r="T3" s="341"/>
      <c r="U3" s="342"/>
      <c r="V3" s="294"/>
      <c r="W3" s="294"/>
      <c r="X3" s="294"/>
      <c r="Y3" s="294"/>
      <c r="Z3" s="294"/>
      <c r="AA3" s="294"/>
      <c r="AB3" s="294"/>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c r="HO3" s="295"/>
      <c r="HP3" s="295"/>
      <c r="HQ3" s="295"/>
      <c r="HR3" s="295"/>
      <c r="HS3" s="295"/>
      <c r="HT3" s="295"/>
      <c r="HU3" s="295"/>
      <c r="HV3" s="295"/>
      <c r="HW3" s="295"/>
      <c r="HX3" s="295"/>
      <c r="HY3" s="295"/>
      <c r="HZ3" s="295"/>
      <c r="IA3" s="295"/>
      <c r="IB3" s="295"/>
      <c r="IC3" s="295"/>
      <c r="ID3" s="295"/>
      <c r="IE3" s="295"/>
      <c r="IF3" s="295"/>
      <c r="IG3" s="295"/>
      <c r="IH3" s="295"/>
      <c r="II3" s="295"/>
      <c r="IJ3" s="295"/>
      <c r="IK3" s="295"/>
      <c r="IL3" s="295"/>
      <c r="IM3" s="295"/>
      <c r="IN3" s="295"/>
      <c r="IO3" s="295"/>
      <c r="IP3" s="295"/>
      <c r="IQ3" s="295"/>
      <c r="IR3" s="295"/>
      <c r="IS3" s="295"/>
      <c r="IT3" s="295"/>
      <c r="IU3" s="295"/>
      <c r="IV3" s="295"/>
    </row>
    <row r="4" spans="1:256" ht="12.75">
      <c r="A4" s="296"/>
      <c r="B4" s="295"/>
      <c r="C4" s="295"/>
      <c r="D4" s="295"/>
      <c r="E4" s="295"/>
      <c r="F4" s="295"/>
      <c r="G4" s="295"/>
      <c r="H4" s="295"/>
      <c r="I4" s="295"/>
      <c r="J4" s="295"/>
      <c r="K4" s="295"/>
      <c r="L4" s="295"/>
      <c r="M4" s="295"/>
      <c r="N4" s="295"/>
      <c r="O4" s="295"/>
      <c r="P4" s="295"/>
      <c r="Q4" s="295"/>
      <c r="R4" s="294"/>
      <c r="S4" s="294"/>
      <c r="T4" s="294"/>
      <c r="U4" s="294"/>
      <c r="V4" s="294"/>
      <c r="W4" s="294"/>
      <c r="X4" s="294"/>
      <c r="Y4" s="294"/>
      <c r="Z4" s="294"/>
      <c r="AA4" s="294"/>
      <c r="AB4" s="294"/>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95"/>
      <c r="IN4" s="295"/>
      <c r="IO4" s="295"/>
      <c r="IP4" s="295"/>
      <c r="IQ4" s="295"/>
      <c r="IR4" s="295"/>
      <c r="IS4" s="295"/>
      <c r="IT4" s="295"/>
      <c r="IU4" s="295"/>
      <c r="IV4" s="295"/>
    </row>
    <row r="5" spans="1:256" ht="13.5">
      <c r="A5" s="297" t="s">
        <v>286</v>
      </c>
      <c r="B5" s="295"/>
      <c r="C5" s="295"/>
      <c r="D5" s="295"/>
      <c r="E5" s="295"/>
      <c r="F5" s="295"/>
      <c r="G5" s="295"/>
      <c r="H5" s="295"/>
      <c r="I5" s="295"/>
      <c r="J5" s="295"/>
      <c r="K5" s="295"/>
      <c r="L5" s="295"/>
      <c r="M5" s="295"/>
      <c r="N5" s="295"/>
      <c r="O5" s="295"/>
      <c r="P5" s="295"/>
      <c r="Q5" s="295"/>
      <c r="R5" s="294"/>
      <c r="S5" s="294"/>
      <c r="T5" s="294"/>
      <c r="U5" s="294"/>
      <c r="V5" s="294"/>
      <c r="W5" s="294"/>
      <c r="X5" s="294"/>
      <c r="Y5" s="294"/>
      <c r="Z5" s="294"/>
      <c r="AA5" s="294"/>
      <c r="AB5" s="294"/>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c r="HO5" s="295"/>
      <c r="HP5" s="295"/>
      <c r="HQ5" s="295"/>
      <c r="HR5" s="295"/>
      <c r="HS5" s="295"/>
      <c r="HT5" s="295"/>
      <c r="HU5" s="295"/>
      <c r="HV5" s="295"/>
      <c r="HW5" s="295"/>
      <c r="HX5" s="295"/>
      <c r="HY5" s="295"/>
      <c r="HZ5" s="295"/>
      <c r="IA5" s="295"/>
      <c r="IB5" s="295"/>
      <c r="IC5" s="295"/>
      <c r="ID5" s="295"/>
      <c r="IE5" s="295"/>
      <c r="IF5" s="295"/>
      <c r="IG5" s="295"/>
      <c r="IH5" s="295"/>
      <c r="II5" s="295"/>
      <c r="IJ5" s="295"/>
      <c r="IK5" s="295"/>
      <c r="IL5" s="295"/>
      <c r="IM5" s="295"/>
      <c r="IN5" s="295"/>
      <c r="IO5" s="295"/>
      <c r="IP5" s="295"/>
      <c r="IQ5" s="295"/>
      <c r="IR5" s="295"/>
      <c r="IS5" s="295"/>
      <c r="IT5" s="295"/>
      <c r="IU5" s="295"/>
      <c r="IV5" s="295"/>
    </row>
    <row r="6" spans="1:256" ht="12.75">
      <c r="A6" s="296"/>
      <c r="B6" s="295"/>
      <c r="C6" s="295"/>
      <c r="D6" s="295"/>
      <c r="E6" s="295"/>
      <c r="F6" s="295"/>
      <c r="G6" s="295"/>
      <c r="H6" s="295"/>
      <c r="I6" s="298" t="s">
        <v>251</v>
      </c>
      <c r="J6" s="299">
        <v>0.037</v>
      </c>
      <c r="K6" s="295"/>
      <c r="L6" s="295"/>
      <c r="M6" s="295"/>
      <c r="N6" s="295"/>
      <c r="O6" s="295"/>
      <c r="P6" s="295"/>
      <c r="Q6" s="295"/>
      <c r="R6" s="294"/>
      <c r="S6" s="294"/>
      <c r="T6" s="294"/>
      <c r="U6" s="294"/>
      <c r="V6" s="294"/>
      <c r="W6" s="294"/>
      <c r="X6" s="294"/>
      <c r="Y6" s="294"/>
      <c r="Z6" s="294"/>
      <c r="AA6" s="294"/>
      <c r="AB6" s="294"/>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O6" s="295"/>
      <c r="HP6" s="295"/>
      <c r="HQ6" s="295"/>
      <c r="HR6" s="295"/>
      <c r="HS6" s="295"/>
      <c r="HT6" s="295"/>
      <c r="HU6" s="295"/>
      <c r="HV6" s="295"/>
      <c r="HW6" s="295"/>
      <c r="HX6" s="295"/>
      <c r="HY6" s="295"/>
      <c r="HZ6" s="295"/>
      <c r="IA6" s="295"/>
      <c r="IB6" s="295"/>
      <c r="IC6" s="295"/>
      <c r="ID6" s="295"/>
      <c r="IE6" s="295"/>
      <c r="IF6" s="295"/>
      <c r="IG6" s="295"/>
      <c r="IH6" s="295"/>
      <c r="II6" s="295"/>
      <c r="IJ6" s="295"/>
      <c r="IK6" s="295"/>
      <c r="IL6" s="295"/>
      <c r="IM6" s="295"/>
      <c r="IN6" s="295"/>
      <c r="IO6" s="295"/>
      <c r="IP6" s="295"/>
      <c r="IQ6" s="295"/>
      <c r="IR6" s="295"/>
      <c r="IS6" s="295"/>
      <c r="IT6" s="295"/>
      <c r="IU6" s="295"/>
      <c r="IV6" s="295"/>
    </row>
    <row r="7" spans="1:256" ht="48">
      <c r="A7" s="300" t="s">
        <v>287</v>
      </c>
      <c r="B7" s="300" t="s">
        <v>288</v>
      </c>
      <c r="C7" s="421" t="s">
        <v>289</v>
      </c>
      <c r="D7" s="422"/>
      <c r="E7" s="301" t="s">
        <v>290</v>
      </c>
      <c r="F7" s="302" t="s">
        <v>291</v>
      </c>
      <c r="G7" s="302" t="s">
        <v>292</v>
      </c>
      <c r="H7" s="302" t="s">
        <v>293</v>
      </c>
      <c r="I7" s="303" t="s">
        <v>294</v>
      </c>
      <c r="J7" s="304" t="s">
        <v>295</v>
      </c>
      <c r="K7" s="304" t="s">
        <v>296</v>
      </c>
      <c r="L7" s="305" t="s">
        <v>297</v>
      </c>
      <c r="M7" s="306" t="s">
        <v>298</v>
      </c>
      <c r="N7" s="306" t="s">
        <v>299</v>
      </c>
      <c r="O7" s="307" t="s">
        <v>300</v>
      </c>
      <c r="P7" s="307" t="s">
        <v>301</v>
      </c>
      <c r="Q7" s="308" t="s">
        <v>302</v>
      </c>
      <c r="R7" s="308" t="s">
        <v>303</v>
      </c>
      <c r="S7" s="309" t="s">
        <v>304</v>
      </c>
      <c r="T7" s="309" t="s">
        <v>305</v>
      </c>
      <c r="U7" s="310" t="s">
        <v>306</v>
      </c>
      <c r="V7" s="294"/>
      <c r="W7" s="294"/>
      <c r="X7" s="294"/>
      <c r="Y7" s="294"/>
      <c r="Z7" s="294"/>
      <c r="AA7" s="294"/>
      <c r="AB7" s="294"/>
      <c r="AC7" s="311"/>
      <c r="AD7" s="311"/>
      <c r="AE7" s="311"/>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O7" s="295"/>
      <c r="HP7" s="295"/>
      <c r="HQ7" s="295"/>
      <c r="HR7" s="295"/>
      <c r="HS7" s="295"/>
      <c r="HT7" s="295"/>
      <c r="HU7" s="295"/>
      <c r="HV7" s="295"/>
      <c r="HW7" s="295"/>
      <c r="HX7" s="295"/>
      <c r="HY7" s="295"/>
      <c r="HZ7" s="295"/>
      <c r="IA7" s="295"/>
      <c r="IB7" s="295"/>
      <c r="IC7" s="295"/>
      <c r="ID7" s="295"/>
      <c r="IE7" s="295"/>
      <c r="IF7" s="295"/>
      <c r="IG7" s="295"/>
      <c r="IH7" s="295"/>
      <c r="II7" s="295"/>
      <c r="IJ7" s="295"/>
      <c r="IK7" s="295"/>
      <c r="IL7" s="295"/>
      <c r="IM7" s="295"/>
      <c r="IN7" s="295"/>
      <c r="IO7" s="295"/>
      <c r="IP7" s="295"/>
      <c r="IQ7" s="295"/>
      <c r="IR7" s="295"/>
      <c r="IS7" s="295"/>
      <c r="IT7" s="295"/>
      <c r="IU7" s="295"/>
      <c r="IV7" s="295"/>
    </row>
    <row r="8" spans="1:256" ht="12.75">
      <c r="A8" s="312">
        <v>1</v>
      </c>
      <c r="B8" s="313" t="s">
        <v>178</v>
      </c>
      <c r="C8" s="423" t="s">
        <v>307</v>
      </c>
      <c r="D8" s="424"/>
      <c r="E8" s="314" t="s">
        <v>308</v>
      </c>
      <c r="F8" s="315" t="s">
        <v>309</v>
      </c>
      <c r="G8" s="316">
        <v>459422</v>
      </c>
      <c r="H8" s="316">
        <f>G8*1.037</f>
        <v>476420.61399999994</v>
      </c>
      <c r="I8" s="317">
        <f aca="true" t="shared" si="0" ref="I8:I26">H8*12</f>
        <v>5717047.367999999</v>
      </c>
      <c r="J8" s="317">
        <v>118218</v>
      </c>
      <c r="K8" s="317">
        <v>398208</v>
      </c>
      <c r="L8" s="317">
        <f>SUM(I8:K8)</f>
        <v>6233473.367999999</v>
      </c>
      <c r="M8" s="318">
        <v>0.07</v>
      </c>
      <c r="N8" s="319">
        <f>+L8*M8</f>
        <v>436343.13576</v>
      </c>
      <c r="O8" s="318">
        <v>0.028</v>
      </c>
      <c r="P8" s="317">
        <f>+L8*O8</f>
        <v>174537.25430399997</v>
      </c>
      <c r="Q8" s="320">
        <v>0.784</v>
      </c>
      <c r="R8" s="317">
        <f aca="true" t="shared" si="1" ref="R8:R26">L8*Q8</f>
        <v>4887043.120511999</v>
      </c>
      <c r="S8" s="320">
        <v>0.118</v>
      </c>
      <c r="T8" s="317">
        <f aca="true" t="shared" si="2" ref="T8:T26">L8*S8</f>
        <v>735549.8574239998</v>
      </c>
      <c r="U8" s="321">
        <f>+M8+O8+Q8+S8</f>
        <v>1</v>
      </c>
      <c r="V8" s="294"/>
      <c r="W8" s="294"/>
      <c r="X8" s="294"/>
      <c r="Y8" s="294"/>
      <c r="Z8" s="294"/>
      <c r="AA8" s="294"/>
      <c r="AB8" s="294"/>
      <c r="AC8" s="311"/>
      <c r="AD8" s="311"/>
      <c r="AE8" s="311"/>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c r="HQ8" s="295"/>
      <c r="HR8" s="295"/>
      <c r="HS8" s="295"/>
      <c r="HT8" s="295"/>
      <c r="HU8" s="295"/>
      <c r="HV8" s="295"/>
      <c r="HW8" s="295"/>
      <c r="HX8" s="295"/>
      <c r="HY8" s="295"/>
      <c r="HZ8" s="295"/>
      <c r="IA8" s="295"/>
      <c r="IB8" s="295"/>
      <c r="IC8" s="295"/>
      <c r="ID8" s="295"/>
      <c r="IE8" s="295"/>
      <c r="IF8" s="295"/>
      <c r="IG8" s="295"/>
      <c r="IH8" s="295"/>
      <c r="II8" s="295"/>
      <c r="IJ8" s="295"/>
      <c r="IK8" s="295"/>
      <c r="IL8" s="295"/>
      <c r="IM8" s="295"/>
      <c r="IN8" s="295"/>
      <c r="IO8" s="295"/>
      <c r="IP8" s="295"/>
      <c r="IQ8" s="295"/>
      <c r="IR8" s="295"/>
      <c r="IS8" s="295"/>
      <c r="IT8" s="295"/>
      <c r="IU8" s="295"/>
      <c r="IV8" s="295"/>
    </row>
    <row r="9" spans="1:256" ht="12.75">
      <c r="A9" s="312">
        <v>2</v>
      </c>
      <c r="B9" s="313" t="s">
        <v>178</v>
      </c>
      <c r="C9" s="423" t="s">
        <v>310</v>
      </c>
      <c r="D9" s="424"/>
      <c r="E9" s="314" t="s">
        <v>311</v>
      </c>
      <c r="F9" s="315" t="s">
        <v>309</v>
      </c>
      <c r="G9" s="316">
        <v>446003</v>
      </c>
      <c r="H9" s="316">
        <f aca="true" t="shared" si="3" ref="H9:H26">G9*1.037</f>
        <v>462505.111</v>
      </c>
      <c r="I9" s="317">
        <f t="shared" si="0"/>
        <v>5550061.3319999995</v>
      </c>
      <c r="J9" s="317">
        <f aca="true" t="shared" si="4" ref="J9:J26">114000*1.037</f>
        <v>118217.99999999999</v>
      </c>
      <c r="K9" s="317">
        <v>398208</v>
      </c>
      <c r="L9" s="317">
        <f aca="true" t="shared" si="5" ref="L9:L26">SUM(I9:K9)</f>
        <v>6066487.3319999995</v>
      </c>
      <c r="M9" s="318">
        <v>0.3</v>
      </c>
      <c r="N9" s="319">
        <f aca="true" t="shared" si="6" ref="N9:N26">+L9*M9</f>
        <v>1819946.1995999997</v>
      </c>
      <c r="O9" s="318">
        <v>0</v>
      </c>
      <c r="P9" s="317">
        <f aca="true" t="shared" si="7" ref="P9:P26">+L9*O9</f>
        <v>0</v>
      </c>
      <c r="Q9" s="320">
        <v>0.7</v>
      </c>
      <c r="R9" s="317">
        <f t="shared" si="1"/>
        <v>4246541.1324</v>
      </c>
      <c r="S9" s="320">
        <v>0</v>
      </c>
      <c r="T9" s="317">
        <f t="shared" si="2"/>
        <v>0</v>
      </c>
      <c r="U9" s="321">
        <f aca="true" t="shared" si="8" ref="U9:U26">+M9+O9+Q9+S9</f>
        <v>1</v>
      </c>
      <c r="V9" s="294"/>
      <c r="W9" s="294"/>
      <c r="X9" s="294"/>
      <c r="Y9" s="294"/>
      <c r="Z9" s="294"/>
      <c r="AA9" s="294"/>
      <c r="AB9" s="294"/>
      <c r="AC9" s="311"/>
      <c r="AD9" s="311"/>
      <c r="AE9" s="311"/>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295"/>
      <c r="HX9" s="295"/>
      <c r="HY9" s="295"/>
      <c r="HZ9" s="295"/>
      <c r="IA9" s="295"/>
      <c r="IB9" s="295"/>
      <c r="IC9" s="295"/>
      <c r="ID9" s="295"/>
      <c r="IE9" s="295"/>
      <c r="IF9" s="295"/>
      <c r="IG9" s="295"/>
      <c r="IH9" s="295"/>
      <c r="II9" s="295"/>
      <c r="IJ9" s="295"/>
      <c r="IK9" s="295"/>
      <c r="IL9" s="295"/>
      <c r="IM9" s="295"/>
      <c r="IN9" s="295"/>
      <c r="IO9" s="295"/>
      <c r="IP9" s="295"/>
      <c r="IQ9" s="295"/>
      <c r="IR9" s="295"/>
      <c r="IS9" s="295"/>
      <c r="IT9" s="295"/>
      <c r="IU9" s="295"/>
      <c r="IV9" s="295"/>
    </row>
    <row r="10" spans="1:256" ht="12.75">
      <c r="A10" s="312">
        <v>3</v>
      </c>
      <c r="B10" s="313" t="s">
        <v>178</v>
      </c>
      <c r="C10" s="423" t="s">
        <v>312</v>
      </c>
      <c r="D10" s="424"/>
      <c r="E10" s="314" t="s">
        <v>313</v>
      </c>
      <c r="F10" s="315" t="s">
        <v>309</v>
      </c>
      <c r="G10" s="316">
        <v>931547</v>
      </c>
      <c r="H10" s="316">
        <f t="shared" si="3"/>
        <v>966014.239</v>
      </c>
      <c r="I10" s="317">
        <f t="shared" si="0"/>
        <v>11592170.867999999</v>
      </c>
      <c r="J10" s="317">
        <f t="shared" si="4"/>
        <v>118217.99999999999</v>
      </c>
      <c r="K10" s="317">
        <v>398208</v>
      </c>
      <c r="L10" s="317">
        <f t="shared" si="5"/>
        <v>12108596.867999999</v>
      </c>
      <c r="M10" s="318">
        <v>0.23</v>
      </c>
      <c r="N10" s="319">
        <f t="shared" si="6"/>
        <v>2784977.27964</v>
      </c>
      <c r="O10" s="318">
        <v>0.092</v>
      </c>
      <c r="P10" s="317">
        <f t="shared" si="7"/>
        <v>1113990.9118559998</v>
      </c>
      <c r="Q10" s="320">
        <v>0.506</v>
      </c>
      <c r="R10" s="317">
        <f t="shared" si="1"/>
        <v>6126950.015207999</v>
      </c>
      <c r="S10" s="320">
        <v>0.172</v>
      </c>
      <c r="T10" s="317">
        <f t="shared" si="2"/>
        <v>2082678.6612959995</v>
      </c>
      <c r="U10" s="321">
        <f t="shared" si="8"/>
        <v>1</v>
      </c>
      <c r="V10" s="294"/>
      <c r="W10" s="294"/>
      <c r="X10" s="294"/>
      <c r="Y10" s="294"/>
      <c r="Z10" s="294"/>
      <c r="AA10" s="294"/>
      <c r="AB10" s="294"/>
      <c r="AC10" s="311"/>
      <c r="AD10" s="311"/>
      <c r="AE10" s="311"/>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c r="IU10" s="295"/>
      <c r="IV10" s="295"/>
    </row>
    <row r="11" spans="1:256" ht="12.75">
      <c r="A11" s="312">
        <v>4</v>
      </c>
      <c r="B11" s="313" t="s">
        <v>178</v>
      </c>
      <c r="C11" s="423" t="s">
        <v>314</v>
      </c>
      <c r="D11" s="424"/>
      <c r="E11" s="314" t="s">
        <v>315</v>
      </c>
      <c r="F11" s="315" t="s">
        <v>309</v>
      </c>
      <c r="G11" s="316">
        <v>641202</v>
      </c>
      <c r="H11" s="316">
        <f t="shared" si="3"/>
        <v>664926.4739999999</v>
      </c>
      <c r="I11" s="317">
        <f t="shared" si="0"/>
        <v>7979117.687999999</v>
      </c>
      <c r="J11" s="317">
        <f t="shared" si="4"/>
        <v>118217.99999999999</v>
      </c>
      <c r="K11" s="317">
        <v>398208</v>
      </c>
      <c r="L11" s="317">
        <f t="shared" si="5"/>
        <v>8495543.688</v>
      </c>
      <c r="M11" s="318">
        <v>0.285</v>
      </c>
      <c r="N11" s="319">
        <f t="shared" si="6"/>
        <v>2421229.9510799996</v>
      </c>
      <c r="O11" s="318">
        <v>0</v>
      </c>
      <c r="P11" s="317">
        <f t="shared" si="7"/>
        <v>0</v>
      </c>
      <c r="Q11" s="320">
        <v>0.61</v>
      </c>
      <c r="R11" s="317">
        <f t="shared" si="1"/>
        <v>5182281.64968</v>
      </c>
      <c r="S11" s="320">
        <v>0.105</v>
      </c>
      <c r="T11" s="317">
        <f t="shared" si="2"/>
        <v>892032.0872399999</v>
      </c>
      <c r="U11" s="321">
        <f t="shared" si="8"/>
        <v>1</v>
      </c>
      <c r="V11" s="294"/>
      <c r="W11" s="294"/>
      <c r="X11" s="294"/>
      <c r="Y11" s="294"/>
      <c r="Z11" s="294"/>
      <c r="AA11" s="294"/>
      <c r="AB11" s="294"/>
      <c r="AC11" s="311"/>
      <c r="AD11" s="311"/>
      <c r="AE11" s="311"/>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c r="HX11" s="295"/>
      <c r="HY11" s="295"/>
      <c r="HZ11" s="295"/>
      <c r="IA11" s="295"/>
      <c r="IB11" s="295"/>
      <c r="IC11" s="295"/>
      <c r="ID11" s="295"/>
      <c r="IE11" s="295"/>
      <c r="IF11" s="295"/>
      <c r="IG11" s="295"/>
      <c r="IH11" s="295"/>
      <c r="II11" s="295"/>
      <c r="IJ11" s="295"/>
      <c r="IK11" s="295"/>
      <c r="IL11" s="295"/>
      <c r="IM11" s="295"/>
      <c r="IN11" s="295"/>
      <c r="IO11" s="295"/>
      <c r="IP11" s="295"/>
      <c r="IQ11" s="295"/>
      <c r="IR11" s="295"/>
      <c r="IS11" s="295"/>
      <c r="IT11" s="295"/>
      <c r="IU11" s="295"/>
      <c r="IV11" s="295"/>
    </row>
    <row r="12" spans="1:256" ht="12.75">
      <c r="A12" s="312">
        <v>5</v>
      </c>
      <c r="B12" s="313" t="s">
        <v>178</v>
      </c>
      <c r="C12" s="423" t="s">
        <v>316</v>
      </c>
      <c r="D12" s="424"/>
      <c r="E12" s="314" t="s">
        <v>308</v>
      </c>
      <c r="F12" s="315" t="s">
        <v>309</v>
      </c>
      <c r="G12" s="316">
        <v>428951</v>
      </c>
      <c r="H12" s="316">
        <f t="shared" si="3"/>
        <v>444822.187</v>
      </c>
      <c r="I12" s="317">
        <f t="shared" si="0"/>
        <v>5337866.244</v>
      </c>
      <c r="J12" s="317">
        <f t="shared" si="4"/>
        <v>118217.99999999999</v>
      </c>
      <c r="K12" s="317">
        <v>398208</v>
      </c>
      <c r="L12" s="317">
        <f t="shared" si="5"/>
        <v>5854292.244</v>
      </c>
      <c r="M12" s="318">
        <v>0.2</v>
      </c>
      <c r="N12" s="319">
        <f t="shared" si="6"/>
        <v>1170858.4488000001</v>
      </c>
      <c r="O12" s="318">
        <v>0.05</v>
      </c>
      <c r="P12" s="317">
        <f t="shared" si="7"/>
        <v>292714.61220000003</v>
      </c>
      <c r="Q12" s="320">
        <v>0.71</v>
      </c>
      <c r="R12" s="317">
        <f t="shared" si="1"/>
        <v>4156547.4932399997</v>
      </c>
      <c r="S12" s="320">
        <v>0.04</v>
      </c>
      <c r="T12" s="317">
        <f t="shared" si="2"/>
        <v>234171.68976</v>
      </c>
      <c r="U12" s="321">
        <f t="shared" si="8"/>
        <v>1</v>
      </c>
      <c r="V12" s="294"/>
      <c r="W12" s="294"/>
      <c r="X12" s="294"/>
      <c r="Y12" s="294"/>
      <c r="Z12" s="294"/>
      <c r="AA12" s="294"/>
      <c r="AB12" s="294"/>
      <c r="AC12" s="311"/>
      <c r="AD12" s="311"/>
      <c r="AE12" s="311"/>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row>
    <row r="13" spans="1:256" ht="12.75">
      <c r="A13" s="312">
        <v>6</v>
      </c>
      <c r="B13" s="313" t="s">
        <v>178</v>
      </c>
      <c r="C13" s="423" t="s">
        <v>317</v>
      </c>
      <c r="D13" s="424"/>
      <c r="E13" s="314" t="s">
        <v>318</v>
      </c>
      <c r="F13" s="315" t="s">
        <v>309</v>
      </c>
      <c r="G13" s="316">
        <v>704357</v>
      </c>
      <c r="H13" s="316">
        <f t="shared" si="3"/>
        <v>730418.2089999999</v>
      </c>
      <c r="I13" s="317">
        <f t="shared" si="0"/>
        <v>8765018.508</v>
      </c>
      <c r="J13" s="317">
        <f t="shared" si="4"/>
        <v>118217.99999999999</v>
      </c>
      <c r="K13" s="317">
        <v>398208</v>
      </c>
      <c r="L13" s="317">
        <f t="shared" si="5"/>
        <v>9281444.508</v>
      </c>
      <c r="M13" s="318">
        <v>0.23</v>
      </c>
      <c r="N13" s="319">
        <f>+L13*M13</f>
        <v>2134732.23684</v>
      </c>
      <c r="O13" s="318">
        <v>0.092</v>
      </c>
      <c r="P13" s="317">
        <f>+L13*O13</f>
        <v>853892.894736</v>
      </c>
      <c r="Q13" s="320">
        <v>0.506</v>
      </c>
      <c r="R13" s="317">
        <f>L13*Q13</f>
        <v>4696410.9210479995</v>
      </c>
      <c r="S13" s="320">
        <v>0.172</v>
      </c>
      <c r="T13" s="317">
        <f>L13*S13</f>
        <v>1596408.4553759997</v>
      </c>
      <c r="U13" s="321">
        <f t="shared" si="8"/>
        <v>1</v>
      </c>
      <c r="V13" s="294"/>
      <c r="W13" s="294"/>
      <c r="X13" s="294"/>
      <c r="Y13" s="294"/>
      <c r="Z13" s="294"/>
      <c r="AA13" s="294"/>
      <c r="AB13" s="294"/>
      <c r="AC13" s="311"/>
      <c r="AD13" s="311"/>
      <c r="AE13" s="311"/>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95"/>
      <c r="IR13" s="295"/>
      <c r="IS13" s="295"/>
      <c r="IT13" s="295"/>
      <c r="IU13" s="295"/>
      <c r="IV13" s="295"/>
    </row>
    <row r="14" spans="1:256" ht="12.75">
      <c r="A14" s="312">
        <v>7</v>
      </c>
      <c r="B14" s="313" t="s">
        <v>178</v>
      </c>
      <c r="C14" s="423" t="s">
        <v>319</v>
      </c>
      <c r="D14" s="424"/>
      <c r="E14" s="314" t="s">
        <v>320</v>
      </c>
      <c r="F14" s="315" t="s">
        <v>309</v>
      </c>
      <c r="G14" s="316">
        <v>1341109</v>
      </c>
      <c r="H14" s="316">
        <f t="shared" si="3"/>
        <v>1390730.0329999998</v>
      </c>
      <c r="I14" s="317">
        <f t="shared" si="0"/>
        <v>16688760.395999998</v>
      </c>
      <c r="J14" s="317">
        <f t="shared" si="4"/>
        <v>118217.99999999999</v>
      </c>
      <c r="K14" s="317">
        <v>398208</v>
      </c>
      <c r="L14" s="317">
        <f t="shared" si="5"/>
        <v>17205186.395999998</v>
      </c>
      <c r="M14" s="318">
        <v>0.178</v>
      </c>
      <c r="N14" s="319">
        <f t="shared" si="6"/>
        <v>3062523.1784879994</v>
      </c>
      <c r="O14" s="318">
        <v>0.105</v>
      </c>
      <c r="P14" s="317">
        <f t="shared" si="7"/>
        <v>1806544.5715799998</v>
      </c>
      <c r="Q14" s="320">
        <v>0.21</v>
      </c>
      <c r="R14" s="317">
        <f t="shared" si="1"/>
        <v>3613089.1431599995</v>
      </c>
      <c r="S14" s="320">
        <v>0.507</v>
      </c>
      <c r="T14" s="317">
        <f t="shared" si="2"/>
        <v>8723029.502772</v>
      </c>
      <c r="U14" s="321">
        <f t="shared" si="8"/>
        <v>1</v>
      </c>
      <c r="V14" s="294"/>
      <c r="W14" s="294"/>
      <c r="X14" s="294"/>
      <c r="Y14" s="294"/>
      <c r="Z14" s="294"/>
      <c r="AA14" s="294"/>
      <c r="AB14" s="294"/>
      <c r="AC14" s="311"/>
      <c r="AD14" s="311"/>
      <c r="AE14" s="311"/>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c r="IU14" s="295"/>
      <c r="IV14" s="295"/>
    </row>
    <row r="15" spans="1:256" ht="12.75">
      <c r="A15" s="312">
        <v>8</v>
      </c>
      <c r="B15" s="313" t="s">
        <v>178</v>
      </c>
      <c r="C15" s="423" t="s">
        <v>321</v>
      </c>
      <c r="D15" s="424"/>
      <c r="E15" s="314" t="s">
        <v>308</v>
      </c>
      <c r="F15" s="315" t="s">
        <v>309</v>
      </c>
      <c r="G15" s="316">
        <v>622113</v>
      </c>
      <c r="H15" s="316">
        <f t="shared" si="3"/>
        <v>645131.181</v>
      </c>
      <c r="I15" s="317">
        <f t="shared" si="0"/>
        <v>7741574.172</v>
      </c>
      <c r="J15" s="317">
        <f t="shared" si="4"/>
        <v>118217.99999999999</v>
      </c>
      <c r="K15" s="317">
        <v>398208</v>
      </c>
      <c r="L15" s="317">
        <f t="shared" si="5"/>
        <v>8258000.172</v>
      </c>
      <c r="M15" s="318">
        <v>0.178</v>
      </c>
      <c r="N15" s="319">
        <f>+L15*M15</f>
        <v>1469924.030616</v>
      </c>
      <c r="O15" s="318">
        <v>0.105</v>
      </c>
      <c r="P15" s="317">
        <f>+L15*O15</f>
        <v>867090.01806</v>
      </c>
      <c r="Q15" s="320">
        <v>0.21</v>
      </c>
      <c r="R15" s="317">
        <f>L15*Q15</f>
        <v>1734180.03612</v>
      </c>
      <c r="S15" s="320">
        <v>0.507</v>
      </c>
      <c r="T15" s="317">
        <f>L15*S15</f>
        <v>4186806.087204</v>
      </c>
      <c r="U15" s="321">
        <f>+M15+O15+Q15+S15</f>
        <v>1</v>
      </c>
      <c r="V15" s="294"/>
      <c r="W15" s="294"/>
      <c r="X15" s="294"/>
      <c r="Y15" s="294"/>
      <c r="Z15" s="294"/>
      <c r="AA15" s="294"/>
      <c r="AB15" s="294"/>
      <c r="AC15" s="311"/>
      <c r="AD15" s="311"/>
      <c r="AE15" s="311"/>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95"/>
      <c r="IR15" s="295"/>
      <c r="IS15" s="295"/>
      <c r="IT15" s="295"/>
      <c r="IU15" s="295"/>
      <c r="IV15" s="295"/>
    </row>
    <row r="16" spans="1:256" ht="12.75">
      <c r="A16" s="312">
        <v>9</v>
      </c>
      <c r="B16" s="313" t="s">
        <v>178</v>
      </c>
      <c r="C16" s="423" t="s">
        <v>322</v>
      </c>
      <c r="D16" s="424"/>
      <c r="E16" s="314" t="s">
        <v>308</v>
      </c>
      <c r="F16" s="315" t="s">
        <v>309</v>
      </c>
      <c r="G16" s="316">
        <v>478192</v>
      </c>
      <c r="H16" s="316">
        <f t="shared" si="3"/>
        <v>495885.10399999993</v>
      </c>
      <c r="I16" s="317">
        <f t="shared" si="0"/>
        <v>5950621.248</v>
      </c>
      <c r="J16" s="317">
        <f t="shared" si="4"/>
        <v>118217.99999999999</v>
      </c>
      <c r="K16" s="317">
        <v>398208</v>
      </c>
      <c r="L16" s="317">
        <f t="shared" si="5"/>
        <v>6467047.248</v>
      </c>
      <c r="M16" s="318">
        <v>0.178</v>
      </c>
      <c r="N16" s="319">
        <f>+L16*M16</f>
        <v>1151134.4101439998</v>
      </c>
      <c r="O16" s="318">
        <v>0.105</v>
      </c>
      <c r="P16" s="317">
        <f>+L16*O16</f>
        <v>679039.96104</v>
      </c>
      <c r="Q16" s="320">
        <v>0.21</v>
      </c>
      <c r="R16" s="317">
        <f>L16*Q16</f>
        <v>1358079.92208</v>
      </c>
      <c r="S16" s="320">
        <v>0.507</v>
      </c>
      <c r="T16" s="317">
        <f>L16*S16</f>
        <v>3278792.954736</v>
      </c>
      <c r="U16" s="321">
        <f>+M16+O16+Q16+S16</f>
        <v>1</v>
      </c>
      <c r="V16" s="294"/>
      <c r="W16" s="294"/>
      <c r="X16" s="294"/>
      <c r="Y16" s="294"/>
      <c r="Z16" s="294"/>
      <c r="AA16" s="294"/>
      <c r="AB16" s="294"/>
      <c r="AC16" s="311"/>
      <c r="AD16" s="311"/>
      <c r="AE16" s="311"/>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95"/>
      <c r="IR16" s="295"/>
      <c r="IS16" s="295"/>
      <c r="IT16" s="295"/>
      <c r="IU16" s="295"/>
      <c r="IV16" s="295"/>
    </row>
    <row r="17" spans="1:256" ht="12.75">
      <c r="A17" s="312">
        <v>10</v>
      </c>
      <c r="B17" s="313" t="s">
        <v>178</v>
      </c>
      <c r="C17" s="423" t="s">
        <v>323</v>
      </c>
      <c r="D17" s="424"/>
      <c r="E17" s="314" t="s">
        <v>324</v>
      </c>
      <c r="F17" s="315" t="s">
        <v>309</v>
      </c>
      <c r="G17" s="316">
        <v>733817</v>
      </c>
      <c r="H17" s="316">
        <f t="shared" si="3"/>
        <v>760968.2289999999</v>
      </c>
      <c r="I17" s="317">
        <f t="shared" si="0"/>
        <v>9131618.748</v>
      </c>
      <c r="J17" s="317">
        <f t="shared" si="4"/>
        <v>118217.99999999999</v>
      </c>
      <c r="K17" s="317">
        <v>398208</v>
      </c>
      <c r="L17" s="317">
        <f t="shared" si="5"/>
        <v>9648044.748</v>
      </c>
      <c r="M17" s="318">
        <v>0.23</v>
      </c>
      <c r="N17" s="319">
        <f>+L17*M17</f>
        <v>2219050.29204</v>
      </c>
      <c r="O17" s="318">
        <v>0.092</v>
      </c>
      <c r="P17" s="317">
        <f>+L17*O17</f>
        <v>887620.116816</v>
      </c>
      <c r="Q17" s="320">
        <v>0.506</v>
      </c>
      <c r="R17" s="317">
        <f>L17*Q17</f>
        <v>4881910.642488</v>
      </c>
      <c r="S17" s="320">
        <v>0.172</v>
      </c>
      <c r="T17" s="317">
        <f>L17*S17</f>
        <v>1659463.6966559999</v>
      </c>
      <c r="U17" s="321">
        <f t="shared" si="8"/>
        <v>1</v>
      </c>
      <c r="V17" s="294"/>
      <c r="W17" s="294"/>
      <c r="X17" s="294"/>
      <c r="Y17" s="294"/>
      <c r="Z17" s="294"/>
      <c r="AA17" s="294"/>
      <c r="AB17" s="294"/>
      <c r="AC17" s="311"/>
      <c r="AD17" s="311"/>
      <c r="AE17" s="311"/>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95"/>
      <c r="IR17" s="295"/>
      <c r="IS17" s="295"/>
      <c r="IT17" s="295"/>
      <c r="IU17" s="295"/>
      <c r="IV17" s="295"/>
    </row>
    <row r="18" spans="1:256" ht="12.75">
      <c r="A18" s="312">
        <v>11</v>
      </c>
      <c r="B18" s="313" t="s">
        <v>178</v>
      </c>
      <c r="C18" s="423" t="s">
        <v>325</v>
      </c>
      <c r="D18" s="424"/>
      <c r="E18" s="314" t="s">
        <v>326</v>
      </c>
      <c r="F18" s="315" t="s">
        <v>309</v>
      </c>
      <c r="G18" s="316">
        <v>1847791</v>
      </c>
      <c r="H18" s="316">
        <f t="shared" si="3"/>
        <v>1916159.2669999998</v>
      </c>
      <c r="I18" s="317">
        <f t="shared" si="0"/>
        <v>22993911.203999996</v>
      </c>
      <c r="J18" s="317">
        <f t="shared" si="4"/>
        <v>118217.99999999999</v>
      </c>
      <c r="K18" s="317">
        <v>398208</v>
      </c>
      <c r="L18" s="317">
        <f t="shared" si="5"/>
        <v>23510337.203999996</v>
      </c>
      <c r="M18" s="318">
        <v>0.12</v>
      </c>
      <c r="N18" s="319">
        <f t="shared" si="6"/>
        <v>2821240.4644799996</v>
      </c>
      <c r="O18" s="318">
        <v>0.04</v>
      </c>
      <c r="P18" s="317">
        <f t="shared" si="7"/>
        <v>940413.4881599998</v>
      </c>
      <c r="Q18" s="320">
        <v>0.25</v>
      </c>
      <c r="R18" s="317">
        <f t="shared" si="1"/>
        <v>5877584.300999999</v>
      </c>
      <c r="S18" s="320">
        <v>0.59</v>
      </c>
      <c r="T18" s="317">
        <f t="shared" si="2"/>
        <v>13871098.950359996</v>
      </c>
      <c r="U18" s="321">
        <f t="shared" si="8"/>
        <v>1</v>
      </c>
      <c r="V18" s="294"/>
      <c r="W18" s="294"/>
      <c r="X18" s="294"/>
      <c r="Y18" s="294"/>
      <c r="Z18" s="294"/>
      <c r="AA18" s="294"/>
      <c r="AB18" s="294"/>
      <c r="AC18" s="311"/>
      <c r="AD18" s="311"/>
      <c r="AE18" s="311"/>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5"/>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295"/>
      <c r="EM18" s="295"/>
      <c r="EN18" s="295"/>
      <c r="EO18" s="295"/>
      <c r="EP18" s="295"/>
      <c r="EQ18" s="295"/>
      <c r="ER18" s="295"/>
      <c r="ES18" s="295"/>
      <c r="ET18" s="295"/>
      <c r="EU18" s="295"/>
      <c r="EV18" s="295"/>
      <c r="EW18" s="295"/>
      <c r="EX18" s="295"/>
      <c r="EY18" s="295"/>
      <c r="EZ18" s="295"/>
      <c r="FA18" s="295"/>
      <c r="FB18" s="295"/>
      <c r="FC18" s="295"/>
      <c r="FD18" s="295"/>
      <c r="FE18" s="295"/>
      <c r="FF18" s="295"/>
      <c r="FG18" s="295"/>
      <c r="FH18" s="295"/>
      <c r="FI18" s="295"/>
      <c r="FJ18" s="295"/>
      <c r="FK18" s="295"/>
      <c r="FL18" s="295"/>
      <c r="FM18" s="295"/>
      <c r="FN18" s="295"/>
      <c r="FO18" s="295"/>
      <c r="FP18" s="295"/>
      <c r="FQ18" s="295"/>
      <c r="FR18" s="295"/>
      <c r="FS18" s="295"/>
      <c r="FT18" s="295"/>
      <c r="FU18" s="295"/>
      <c r="FV18" s="295"/>
      <c r="FW18" s="295"/>
      <c r="FX18" s="295"/>
      <c r="FY18" s="295"/>
      <c r="FZ18" s="295"/>
      <c r="GA18" s="295"/>
      <c r="GB18" s="295"/>
      <c r="GC18" s="295"/>
      <c r="GD18" s="295"/>
      <c r="GE18" s="295"/>
      <c r="GF18" s="295"/>
      <c r="GG18" s="295"/>
      <c r="GH18" s="295"/>
      <c r="GI18" s="295"/>
      <c r="GJ18" s="295"/>
      <c r="GK18" s="295"/>
      <c r="GL18" s="295"/>
      <c r="GM18" s="295"/>
      <c r="GN18" s="295"/>
      <c r="GO18" s="295"/>
      <c r="GP18" s="295"/>
      <c r="GQ18" s="295"/>
      <c r="GR18" s="295"/>
      <c r="GS18" s="295"/>
      <c r="GT18" s="295"/>
      <c r="GU18" s="295"/>
      <c r="GV18" s="295"/>
      <c r="GW18" s="295"/>
      <c r="GX18" s="295"/>
      <c r="GY18" s="295"/>
      <c r="GZ18" s="295"/>
      <c r="HA18" s="295"/>
      <c r="HB18" s="295"/>
      <c r="HC18" s="295"/>
      <c r="HD18" s="295"/>
      <c r="HE18" s="295"/>
      <c r="HF18" s="295"/>
      <c r="HG18" s="295"/>
      <c r="HH18" s="295"/>
      <c r="HI18" s="295"/>
      <c r="HJ18" s="295"/>
      <c r="HK18" s="295"/>
      <c r="HL18" s="295"/>
      <c r="HM18" s="295"/>
      <c r="HN18" s="295"/>
      <c r="HO18" s="295"/>
      <c r="HP18" s="295"/>
      <c r="HQ18" s="295"/>
      <c r="HR18" s="295"/>
      <c r="HS18" s="295"/>
      <c r="HT18" s="295"/>
      <c r="HU18" s="295"/>
      <c r="HV18" s="295"/>
      <c r="HW18" s="295"/>
      <c r="HX18" s="295"/>
      <c r="HY18" s="295"/>
      <c r="HZ18" s="295"/>
      <c r="IA18" s="295"/>
      <c r="IB18" s="295"/>
      <c r="IC18" s="295"/>
      <c r="ID18" s="295"/>
      <c r="IE18" s="295"/>
      <c r="IF18" s="295"/>
      <c r="IG18" s="295"/>
      <c r="IH18" s="295"/>
      <c r="II18" s="295"/>
      <c r="IJ18" s="295"/>
      <c r="IK18" s="295"/>
      <c r="IL18" s="295"/>
      <c r="IM18" s="295"/>
      <c r="IN18" s="295"/>
      <c r="IO18" s="295"/>
      <c r="IP18" s="295"/>
      <c r="IQ18" s="295"/>
      <c r="IR18" s="295"/>
      <c r="IS18" s="295"/>
      <c r="IT18" s="295"/>
      <c r="IU18" s="295"/>
      <c r="IV18" s="295"/>
    </row>
    <row r="19" spans="1:256" ht="12.75">
      <c r="A19" s="312">
        <v>12</v>
      </c>
      <c r="B19" s="313" t="s">
        <v>178</v>
      </c>
      <c r="C19" s="423" t="s">
        <v>327</v>
      </c>
      <c r="D19" s="424"/>
      <c r="E19" s="314" t="s">
        <v>318</v>
      </c>
      <c r="F19" s="315" t="s">
        <v>309</v>
      </c>
      <c r="G19" s="316">
        <v>293875</v>
      </c>
      <c r="H19" s="316">
        <f t="shared" si="3"/>
        <v>304748.375</v>
      </c>
      <c r="I19" s="317">
        <f t="shared" si="0"/>
        <v>3656980.5</v>
      </c>
      <c r="J19" s="317">
        <f t="shared" si="4"/>
        <v>118217.99999999999</v>
      </c>
      <c r="K19" s="317">
        <v>398208</v>
      </c>
      <c r="L19" s="317">
        <f t="shared" si="5"/>
        <v>4173406.5</v>
      </c>
      <c r="M19" s="318">
        <v>0.23</v>
      </c>
      <c r="N19" s="319">
        <f>+L19*M19</f>
        <v>959883.495</v>
      </c>
      <c r="O19" s="318">
        <v>0.09</v>
      </c>
      <c r="P19" s="317">
        <f>+L19*O19</f>
        <v>375606.58499999996</v>
      </c>
      <c r="Q19" s="320">
        <v>0.506</v>
      </c>
      <c r="R19" s="317">
        <f>L19*Q19</f>
        <v>2111743.6890000002</v>
      </c>
      <c r="S19" s="320">
        <v>0.174</v>
      </c>
      <c r="T19" s="317">
        <f>L19*S19</f>
        <v>726172.7309999999</v>
      </c>
      <c r="U19" s="321">
        <f t="shared" si="8"/>
        <v>1</v>
      </c>
      <c r="V19" s="294"/>
      <c r="W19" s="294"/>
      <c r="X19" s="294"/>
      <c r="Y19" s="294"/>
      <c r="Z19" s="294"/>
      <c r="AA19" s="294"/>
      <c r="AB19" s="294"/>
      <c r="AC19" s="311"/>
      <c r="AD19" s="311"/>
      <c r="AE19" s="311"/>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5"/>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295"/>
      <c r="EM19" s="295"/>
      <c r="EN19" s="295"/>
      <c r="EO19" s="295"/>
      <c r="EP19" s="295"/>
      <c r="EQ19" s="295"/>
      <c r="ER19" s="295"/>
      <c r="ES19" s="295"/>
      <c r="ET19" s="295"/>
      <c r="EU19" s="295"/>
      <c r="EV19" s="295"/>
      <c r="EW19" s="295"/>
      <c r="EX19" s="295"/>
      <c r="EY19" s="295"/>
      <c r="EZ19" s="295"/>
      <c r="FA19" s="295"/>
      <c r="FB19" s="295"/>
      <c r="FC19" s="295"/>
      <c r="FD19" s="295"/>
      <c r="FE19" s="295"/>
      <c r="FF19" s="295"/>
      <c r="FG19" s="295"/>
      <c r="FH19" s="295"/>
      <c r="FI19" s="295"/>
      <c r="FJ19" s="295"/>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5"/>
      <c r="GH19" s="295"/>
      <c r="GI19" s="295"/>
      <c r="GJ19" s="295"/>
      <c r="GK19" s="295"/>
      <c r="GL19" s="295"/>
      <c r="GM19" s="295"/>
      <c r="GN19" s="295"/>
      <c r="GO19" s="295"/>
      <c r="GP19" s="295"/>
      <c r="GQ19" s="295"/>
      <c r="GR19" s="295"/>
      <c r="GS19" s="295"/>
      <c r="GT19" s="295"/>
      <c r="GU19" s="295"/>
      <c r="GV19" s="295"/>
      <c r="GW19" s="295"/>
      <c r="GX19" s="295"/>
      <c r="GY19" s="295"/>
      <c r="GZ19" s="295"/>
      <c r="HA19" s="295"/>
      <c r="HB19" s="295"/>
      <c r="HC19" s="295"/>
      <c r="HD19" s="295"/>
      <c r="HE19" s="295"/>
      <c r="HF19" s="295"/>
      <c r="HG19" s="295"/>
      <c r="HH19" s="295"/>
      <c r="HI19" s="295"/>
      <c r="HJ19" s="295"/>
      <c r="HK19" s="295"/>
      <c r="HL19" s="295"/>
      <c r="HM19" s="295"/>
      <c r="HN19" s="295"/>
      <c r="HO19" s="295"/>
      <c r="HP19" s="295"/>
      <c r="HQ19" s="295"/>
      <c r="HR19" s="295"/>
      <c r="HS19" s="295"/>
      <c r="HT19" s="295"/>
      <c r="HU19" s="295"/>
      <c r="HV19" s="295"/>
      <c r="HW19" s="295"/>
      <c r="HX19" s="295"/>
      <c r="HY19" s="295"/>
      <c r="HZ19" s="295"/>
      <c r="IA19" s="295"/>
      <c r="IB19" s="295"/>
      <c r="IC19" s="295"/>
      <c r="ID19" s="295"/>
      <c r="IE19" s="295"/>
      <c r="IF19" s="295"/>
      <c r="IG19" s="295"/>
      <c r="IH19" s="295"/>
      <c r="II19" s="295"/>
      <c r="IJ19" s="295"/>
      <c r="IK19" s="295"/>
      <c r="IL19" s="295"/>
      <c r="IM19" s="295"/>
      <c r="IN19" s="295"/>
      <c r="IO19" s="295"/>
      <c r="IP19" s="295"/>
      <c r="IQ19" s="295"/>
      <c r="IR19" s="295"/>
      <c r="IS19" s="295"/>
      <c r="IT19" s="295"/>
      <c r="IU19" s="295"/>
      <c r="IV19" s="295"/>
    </row>
    <row r="20" spans="1:256" ht="12.75">
      <c r="A20" s="312">
        <v>13</v>
      </c>
      <c r="B20" s="313" t="s">
        <v>178</v>
      </c>
      <c r="C20" s="423" t="s">
        <v>328</v>
      </c>
      <c r="D20" s="424"/>
      <c r="E20" s="314" t="s">
        <v>308</v>
      </c>
      <c r="F20" s="315" t="s">
        <v>309</v>
      </c>
      <c r="G20" s="316">
        <v>514129</v>
      </c>
      <c r="H20" s="316">
        <f t="shared" si="3"/>
        <v>533151.7729999999</v>
      </c>
      <c r="I20" s="317">
        <f t="shared" si="0"/>
        <v>6397821.275999999</v>
      </c>
      <c r="J20" s="317">
        <f t="shared" si="4"/>
        <v>118217.99999999999</v>
      </c>
      <c r="K20" s="317">
        <v>398208</v>
      </c>
      <c r="L20" s="317">
        <f t="shared" si="5"/>
        <v>6914247.275999999</v>
      </c>
      <c r="M20" s="318">
        <v>0.2</v>
      </c>
      <c r="N20" s="319">
        <f>+L20*M20</f>
        <v>1382849.4551999997</v>
      </c>
      <c r="O20" s="318">
        <v>0.05</v>
      </c>
      <c r="P20" s="317">
        <f>+L20*O20</f>
        <v>345712.36379999993</v>
      </c>
      <c r="Q20" s="320">
        <v>0.71</v>
      </c>
      <c r="R20" s="317">
        <f>L20*Q20</f>
        <v>4909115.565959998</v>
      </c>
      <c r="S20" s="320">
        <v>0.04</v>
      </c>
      <c r="T20" s="317">
        <f>L20*S20</f>
        <v>276569.89103999996</v>
      </c>
      <c r="U20" s="321">
        <f t="shared" si="8"/>
        <v>1</v>
      </c>
      <c r="V20" s="294"/>
      <c r="W20" s="294"/>
      <c r="X20" s="294"/>
      <c r="Y20" s="294"/>
      <c r="Z20" s="294"/>
      <c r="AA20" s="294"/>
      <c r="AB20" s="294"/>
      <c r="AC20" s="311"/>
      <c r="AD20" s="311"/>
      <c r="AE20" s="311"/>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5"/>
      <c r="DP20" s="295"/>
      <c r="DQ20" s="295"/>
      <c r="DR20" s="295"/>
      <c r="DS20" s="295"/>
      <c r="DT20" s="295"/>
      <c r="DU20" s="295"/>
      <c r="DV20" s="295"/>
      <c r="DW20" s="295"/>
      <c r="DX20" s="295"/>
      <c r="DY20" s="295"/>
      <c r="DZ20" s="295"/>
      <c r="EA20" s="295"/>
      <c r="EB20" s="295"/>
      <c r="EC20" s="295"/>
      <c r="ED20" s="295"/>
      <c r="EE20" s="295"/>
      <c r="EF20" s="295"/>
      <c r="EG20" s="295"/>
      <c r="EH20" s="295"/>
      <c r="EI20" s="295"/>
      <c r="EJ20" s="295"/>
      <c r="EK20" s="295"/>
      <c r="EL20" s="295"/>
      <c r="EM20" s="295"/>
      <c r="EN20" s="295"/>
      <c r="EO20" s="295"/>
      <c r="EP20" s="295"/>
      <c r="EQ20" s="295"/>
      <c r="ER20" s="295"/>
      <c r="ES20" s="295"/>
      <c r="ET20" s="295"/>
      <c r="EU20" s="295"/>
      <c r="EV20" s="295"/>
      <c r="EW20" s="295"/>
      <c r="EX20" s="295"/>
      <c r="EY20" s="295"/>
      <c r="EZ20" s="295"/>
      <c r="FA20" s="295"/>
      <c r="FB20" s="295"/>
      <c r="FC20" s="295"/>
      <c r="FD20" s="295"/>
      <c r="FE20" s="295"/>
      <c r="FF20" s="295"/>
      <c r="FG20" s="295"/>
      <c r="FH20" s="295"/>
      <c r="FI20" s="295"/>
      <c r="FJ20" s="295"/>
      <c r="FK20" s="295"/>
      <c r="FL20" s="295"/>
      <c r="FM20" s="295"/>
      <c r="FN20" s="295"/>
      <c r="FO20" s="295"/>
      <c r="FP20" s="295"/>
      <c r="FQ20" s="295"/>
      <c r="FR20" s="295"/>
      <c r="FS20" s="295"/>
      <c r="FT20" s="295"/>
      <c r="FU20" s="295"/>
      <c r="FV20" s="295"/>
      <c r="FW20" s="295"/>
      <c r="FX20" s="295"/>
      <c r="FY20" s="295"/>
      <c r="FZ20" s="295"/>
      <c r="GA20" s="295"/>
      <c r="GB20" s="295"/>
      <c r="GC20" s="295"/>
      <c r="GD20" s="295"/>
      <c r="GE20" s="295"/>
      <c r="GF20" s="295"/>
      <c r="GG20" s="295"/>
      <c r="GH20" s="295"/>
      <c r="GI20" s="295"/>
      <c r="GJ20" s="295"/>
      <c r="GK20" s="295"/>
      <c r="GL20" s="295"/>
      <c r="GM20" s="295"/>
      <c r="GN20" s="295"/>
      <c r="GO20" s="295"/>
      <c r="GP20" s="295"/>
      <c r="GQ20" s="295"/>
      <c r="GR20" s="295"/>
      <c r="GS20" s="295"/>
      <c r="GT20" s="295"/>
      <c r="GU20" s="295"/>
      <c r="GV20" s="295"/>
      <c r="GW20" s="295"/>
      <c r="GX20" s="295"/>
      <c r="GY20" s="295"/>
      <c r="GZ20" s="295"/>
      <c r="HA20" s="295"/>
      <c r="HB20" s="295"/>
      <c r="HC20" s="295"/>
      <c r="HD20" s="295"/>
      <c r="HE20" s="295"/>
      <c r="HF20" s="295"/>
      <c r="HG20" s="295"/>
      <c r="HH20" s="295"/>
      <c r="HI20" s="295"/>
      <c r="HJ20" s="295"/>
      <c r="HK20" s="295"/>
      <c r="HL20" s="295"/>
      <c r="HM20" s="295"/>
      <c r="HN20" s="295"/>
      <c r="HO20" s="295"/>
      <c r="HP20" s="295"/>
      <c r="HQ20" s="295"/>
      <c r="HR20" s="295"/>
      <c r="HS20" s="295"/>
      <c r="HT20" s="295"/>
      <c r="HU20" s="295"/>
      <c r="HV20" s="295"/>
      <c r="HW20" s="295"/>
      <c r="HX20" s="295"/>
      <c r="HY20" s="295"/>
      <c r="HZ20" s="295"/>
      <c r="IA20" s="295"/>
      <c r="IB20" s="295"/>
      <c r="IC20" s="295"/>
      <c r="ID20" s="295"/>
      <c r="IE20" s="295"/>
      <c r="IF20" s="295"/>
      <c r="IG20" s="295"/>
      <c r="IH20" s="295"/>
      <c r="II20" s="295"/>
      <c r="IJ20" s="295"/>
      <c r="IK20" s="295"/>
      <c r="IL20" s="295"/>
      <c r="IM20" s="295"/>
      <c r="IN20" s="295"/>
      <c r="IO20" s="295"/>
      <c r="IP20" s="295"/>
      <c r="IQ20" s="295"/>
      <c r="IR20" s="295"/>
      <c r="IS20" s="295"/>
      <c r="IT20" s="295"/>
      <c r="IU20" s="295"/>
      <c r="IV20" s="295"/>
    </row>
    <row r="21" spans="1:256" ht="12.75">
      <c r="A21" s="312">
        <v>14</v>
      </c>
      <c r="B21" s="313" t="s">
        <v>178</v>
      </c>
      <c r="C21" s="423" t="s">
        <v>329</v>
      </c>
      <c r="D21" s="424"/>
      <c r="E21" s="314" t="s">
        <v>330</v>
      </c>
      <c r="F21" s="315" t="s">
        <v>309</v>
      </c>
      <c r="G21" s="316">
        <v>983199</v>
      </c>
      <c r="H21" s="316">
        <f t="shared" si="3"/>
        <v>1019577.3629999999</v>
      </c>
      <c r="I21" s="317">
        <f t="shared" si="0"/>
        <v>12234928.355999999</v>
      </c>
      <c r="J21" s="317">
        <f t="shared" si="4"/>
        <v>118217.99999999999</v>
      </c>
      <c r="K21" s="317">
        <v>398208</v>
      </c>
      <c r="L21" s="317">
        <f t="shared" si="5"/>
        <v>12751354.355999999</v>
      </c>
      <c r="M21" s="318">
        <v>0.101</v>
      </c>
      <c r="N21" s="319">
        <f t="shared" si="6"/>
        <v>1287886.789956</v>
      </c>
      <c r="O21" s="318">
        <v>0.061</v>
      </c>
      <c r="P21" s="317">
        <f t="shared" si="7"/>
        <v>777832.6157159999</v>
      </c>
      <c r="Q21" s="320">
        <v>0.203</v>
      </c>
      <c r="R21" s="317">
        <f t="shared" si="1"/>
        <v>2588524.934268</v>
      </c>
      <c r="S21" s="320">
        <v>0.635</v>
      </c>
      <c r="T21" s="317">
        <f t="shared" si="2"/>
        <v>8097110.016059999</v>
      </c>
      <c r="U21" s="321">
        <f t="shared" si="8"/>
        <v>1</v>
      </c>
      <c r="V21" s="294"/>
      <c r="W21" s="294"/>
      <c r="X21" s="294"/>
      <c r="Y21" s="294"/>
      <c r="Z21" s="294"/>
      <c r="AA21" s="294"/>
      <c r="AB21" s="294"/>
      <c r="AC21" s="311"/>
      <c r="AD21" s="311"/>
      <c r="AE21" s="311"/>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5"/>
      <c r="DP21" s="295"/>
      <c r="DQ21" s="295"/>
      <c r="DR21" s="295"/>
      <c r="DS21" s="295"/>
      <c r="DT21" s="295"/>
      <c r="DU21" s="295"/>
      <c r="DV21" s="295"/>
      <c r="DW21" s="295"/>
      <c r="DX21" s="295"/>
      <c r="DY21" s="295"/>
      <c r="DZ21" s="295"/>
      <c r="EA21" s="295"/>
      <c r="EB21" s="295"/>
      <c r="EC21" s="295"/>
      <c r="ED21" s="295"/>
      <c r="EE21" s="295"/>
      <c r="EF21" s="295"/>
      <c r="EG21" s="295"/>
      <c r="EH21" s="295"/>
      <c r="EI21" s="295"/>
      <c r="EJ21" s="295"/>
      <c r="EK21" s="295"/>
      <c r="EL21" s="295"/>
      <c r="EM21" s="295"/>
      <c r="EN21" s="295"/>
      <c r="EO21" s="295"/>
      <c r="EP21" s="295"/>
      <c r="EQ21" s="295"/>
      <c r="ER21" s="295"/>
      <c r="ES21" s="295"/>
      <c r="ET21" s="295"/>
      <c r="EU21" s="295"/>
      <c r="EV21" s="295"/>
      <c r="EW21" s="295"/>
      <c r="EX21" s="295"/>
      <c r="EY21" s="295"/>
      <c r="EZ21" s="295"/>
      <c r="FA21" s="295"/>
      <c r="FB21" s="295"/>
      <c r="FC21" s="295"/>
      <c r="FD21" s="295"/>
      <c r="FE21" s="295"/>
      <c r="FF21" s="295"/>
      <c r="FG21" s="295"/>
      <c r="FH21" s="295"/>
      <c r="FI21" s="295"/>
      <c r="FJ21" s="295"/>
      <c r="FK21" s="295"/>
      <c r="FL21" s="295"/>
      <c r="FM21" s="295"/>
      <c r="FN21" s="295"/>
      <c r="FO21" s="295"/>
      <c r="FP21" s="295"/>
      <c r="FQ21" s="295"/>
      <c r="FR21" s="295"/>
      <c r="FS21" s="295"/>
      <c r="FT21" s="295"/>
      <c r="FU21" s="295"/>
      <c r="FV21" s="295"/>
      <c r="FW21" s="295"/>
      <c r="FX21" s="295"/>
      <c r="FY21" s="295"/>
      <c r="FZ21" s="295"/>
      <c r="GA21" s="295"/>
      <c r="GB21" s="295"/>
      <c r="GC21" s="295"/>
      <c r="GD21" s="295"/>
      <c r="GE21" s="295"/>
      <c r="GF21" s="295"/>
      <c r="GG21" s="295"/>
      <c r="GH21" s="295"/>
      <c r="GI21" s="295"/>
      <c r="GJ21" s="295"/>
      <c r="GK21" s="295"/>
      <c r="GL21" s="295"/>
      <c r="GM21" s="295"/>
      <c r="GN21" s="295"/>
      <c r="GO21" s="295"/>
      <c r="GP21" s="295"/>
      <c r="GQ21" s="295"/>
      <c r="GR21" s="295"/>
      <c r="GS21" s="295"/>
      <c r="GT21" s="295"/>
      <c r="GU21" s="295"/>
      <c r="GV21" s="295"/>
      <c r="GW21" s="295"/>
      <c r="GX21" s="295"/>
      <c r="GY21" s="295"/>
      <c r="GZ21" s="295"/>
      <c r="HA21" s="295"/>
      <c r="HB21" s="295"/>
      <c r="HC21" s="295"/>
      <c r="HD21" s="295"/>
      <c r="HE21" s="295"/>
      <c r="HF21" s="295"/>
      <c r="HG21" s="295"/>
      <c r="HH21" s="295"/>
      <c r="HI21" s="295"/>
      <c r="HJ21" s="295"/>
      <c r="HK21" s="295"/>
      <c r="HL21" s="295"/>
      <c r="HM21" s="295"/>
      <c r="HN21" s="295"/>
      <c r="HO21" s="295"/>
      <c r="HP21" s="295"/>
      <c r="HQ21" s="295"/>
      <c r="HR21" s="295"/>
      <c r="HS21" s="295"/>
      <c r="HT21" s="295"/>
      <c r="HU21" s="295"/>
      <c r="HV21" s="295"/>
      <c r="HW21" s="295"/>
      <c r="HX21" s="295"/>
      <c r="HY21" s="295"/>
      <c r="HZ21" s="295"/>
      <c r="IA21" s="295"/>
      <c r="IB21" s="295"/>
      <c r="IC21" s="295"/>
      <c r="ID21" s="295"/>
      <c r="IE21" s="295"/>
      <c r="IF21" s="295"/>
      <c r="IG21" s="295"/>
      <c r="IH21" s="295"/>
      <c r="II21" s="295"/>
      <c r="IJ21" s="295"/>
      <c r="IK21" s="295"/>
      <c r="IL21" s="295"/>
      <c r="IM21" s="295"/>
      <c r="IN21" s="295"/>
      <c r="IO21" s="295"/>
      <c r="IP21" s="295"/>
      <c r="IQ21" s="295"/>
      <c r="IR21" s="295"/>
      <c r="IS21" s="295"/>
      <c r="IT21" s="295"/>
      <c r="IU21" s="295"/>
      <c r="IV21" s="295"/>
    </row>
    <row r="22" spans="1:256" ht="12.75">
      <c r="A22" s="312">
        <v>15</v>
      </c>
      <c r="B22" s="313" t="s">
        <v>178</v>
      </c>
      <c r="C22" s="423" t="s">
        <v>331</v>
      </c>
      <c r="D22" s="424"/>
      <c r="E22" s="314" t="s">
        <v>332</v>
      </c>
      <c r="F22" s="315" t="s">
        <v>309</v>
      </c>
      <c r="G22" s="316">
        <v>1192058</v>
      </c>
      <c r="H22" s="316">
        <f t="shared" si="3"/>
        <v>1236164.146</v>
      </c>
      <c r="I22" s="317">
        <f t="shared" si="0"/>
        <v>14833969.752</v>
      </c>
      <c r="J22" s="317">
        <f t="shared" si="4"/>
        <v>118217.99999999999</v>
      </c>
      <c r="K22" s="317">
        <v>398208</v>
      </c>
      <c r="L22" s="317">
        <f t="shared" si="5"/>
        <v>15350395.752</v>
      </c>
      <c r="M22" s="318">
        <v>0.23</v>
      </c>
      <c r="N22" s="319">
        <f>+L22*M22</f>
        <v>3530591.02296</v>
      </c>
      <c r="O22" s="318">
        <v>0.092</v>
      </c>
      <c r="P22" s="317">
        <f>+L22*O22</f>
        <v>1412236.409184</v>
      </c>
      <c r="Q22" s="320">
        <v>0.506</v>
      </c>
      <c r="R22" s="317">
        <f>L22*Q22</f>
        <v>7767300.250512</v>
      </c>
      <c r="S22" s="320">
        <v>0.172</v>
      </c>
      <c r="T22" s="317">
        <f>L22*S22</f>
        <v>2640268.069344</v>
      </c>
      <c r="U22" s="321">
        <f t="shared" si="8"/>
        <v>1</v>
      </c>
      <c r="V22" s="294"/>
      <c r="W22" s="294"/>
      <c r="X22" s="294"/>
      <c r="Y22" s="294"/>
      <c r="Z22" s="294"/>
      <c r="AA22" s="294"/>
      <c r="AB22" s="294"/>
      <c r="AC22" s="311"/>
      <c r="AD22" s="311"/>
      <c r="AE22" s="311"/>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c r="FT22" s="295"/>
      <c r="FU22" s="295"/>
      <c r="FV22" s="295"/>
      <c r="FW22" s="295"/>
      <c r="FX22" s="295"/>
      <c r="FY22" s="295"/>
      <c r="FZ22" s="295"/>
      <c r="GA22" s="295"/>
      <c r="GB22" s="295"/>
      <c r="GC22" s="295"/>
      <c r="GD22" s="295"/>
      <c r="GE22" s="295"/>
      <c r="GF22" s="295"/>
      <c r="GG22" s="295"/>
      <c r="GH22" s="295"/>
      <c r="GI22" s="295"/>
      <c r="GJ22" s="295"/>
      <c r="GK22" s="295"/>
      <c r="GL22" s="295"/>
      <c r="GM22" s="295"/>
      <c r="GN22" s="295"/>
      <c r="GO22" s="295"/>
      <c r="GP22" s="295"/>
      <c r="GQ22" s="295"/>
      <c r="GR22" s="295"/>
      <c r="GS22" s="295"/>
      <c r="GT22" s="295"/>
      <c r="GU22" s="295"/>
      <c r="GV22" s="295"/>
      <c r="GW22" s="295"/>
      <c r="GX22" s="295"/>
      <c r="GY22" s="295"/>
      <c r="GZ22" s="295"/>
      <c r="HA22" s="295"/>
      <c r="HB22" s="295"/>
      <c r="HC22" s="295"/>
      <c r="HD22" s="295"/>
      <c r="HE22" s="295"/>
      <c r="HF22" s="295"/>
      <c r="HG22" s="295"/>
      <c r="HH22" s="295"/>
      <c r="HI22" s="295"/>
      <c r="HJ22" s="295"/>
      <c r="HK22" s="295"/>
      <c r="HL22" s="295"/>
      <c r="HM22" s="295"/>
      <c r="HN22" s="295"/>
      <c r="HO22" s="295"/>
      <c r="HP22" s="295"/>
      <c r="HQ22" s="295"/>
      <c r="HR22" s="295"/>
      <c r="HS22" s="295"/>
      <c r="HT22" s="295"/>
      <c r="HU22" s="295"/>
      <c r="HV22" s="295"/>
      <c r="HW22" s="295"/>
      <c r="HX22" s="295"/>
      <c r="HY22" s="295"/>
      <c r="HZ22" s="295"/>
      <c r="IA22" s="295"/>
      <c r="IB22" s="295"/>
      <c r="IC22" s="295"/>
      <c r="ID22" s="295"/>
      <c r="IE22" s="295"/>
      <c r="IF22" s="295"/>
      <c r="IG22" s="295"/>
      <c r="IH22" s="295"/>
      <c r="II22" s="295"/>
      <c r="IJ22" s="295"/>
      <c r="IK22" s="295"/>
      <c r="IL22" s="295"/>
      <c r="IM22" s="295"/>
      <c r="IN22" s="295"/>
      <c r="IO22" s="295"/>
      <c r="IP22" s="295"/>
      <c r="IQ22" s="295"/>
      <c r="IR22" s="295"/>
      <c r="IS22" s="295"/>
      <c r="IT22" s="295"/>
      <c r="IU22" s="295"/>
      <c r="IV22" s="295"/>
    </row>
    <row r="23" spans="1:256" ht="12.75">
      <c r="A23" s="312">
        <v>16</v>
      </c>
      <c r="B23" s="313" t="s">
        <v>178</v>
      </c>
      <c r="C23" s="423" t="s">
        <v>333</v>
      </c>
      <c r="D23" s="424"/>
      <c r="E23" s="314" t="s">
        <v>334</v>
      </c>
      <c r="F23" s="315" t="s">
        <v>309</v>
      </c>
      <c r="G23" s="316">
        <v>458681</v>
      </c>
      <c r="H23" s="316">
        <f t="shared" si="3"/>
        <v>475652.197</v>
      </c>
      <c r="I23" s="317">
        <f t="shared" si="0"/>
        <v>5707826.364</v>
      </c>
      <c r="J23" s="317">
        <f t="shared" si="4"/>
        <v>118217.99999999999</v>
      </c>
      <c r="K23" s="317">
        <v>398208</v>
      </c>
      <c r="L23" s="317">
        <f t="shared" si="5"/>
        <v>6224252.364</v>
      </c>
      <c r="M23" s="318">
        <v>0.3</v>
      </c>
      <c r="N23" s="319">
        <f t="shared" si="6"/>
        <v>1867275.7092</v>
      </c>
      <c r="O23" s="318">
        <v>0.2</v>
      </c>
      <c r="P23" s="317">
        <f t="shared" si="7"/>
        <v>1244850.4728</v>
      </c>
      <c r="Q23" s="320">
        <v>0.42</v>
      </c>
      <c r="R23" s="317">
        <f t="shared" si="1"/>
        <v>2614185.99288</v>
      </c>
      <c r="S23" s="320">
        <v>0.08</v>
      </c>
      <c r="T23" s="317">
        <f t="shared" si="2"/>
        <v>497940.18912</v>
      </c>
      <c r="U23" s="321">
        <f t="shared" si="8"/>
        <v>0.9999999999999999</v>
      </c>
      <c r="V23" s="294"/>
      <c r="W23" s="294"/>
      <c r="X23" s="294"/>
      <c r="Y23" s="294"/>
      <c r="Z23" s="294"/>
      <c r="AA23" s="294"/>
      <c r="AB23" s="294"/>
      <c r="AC23" s="311"/>
      <c r="AD23" s="311"/>
      <c r="AE23" s="311"/>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c r="FT23" s="295"/>
      <c r="FU23" s="295"/>
      <c r="FV23" s="295"/>
      <c r="FW23" s="295"/>
      <c r="FX23" s="295"/>
      <c r="FY23" s="295"/>
      <c r="FZ23" s="295"/>
      <c r="GA23" s="295"/>
      <c r="GB23" s="295"/>
      <c r="GC23" s="295"/>
      <c r="GD23" s="295"/>
      <c r="GE23" s="295"/>
      <c r="GF23" s="295"/>
      <c r="GG23" s="295"/>
      <c r="GH23" s="295"/>
      <c r="GI23" s="295"/>
      <c r="GJ23" s="295"/>
      <c r="GK23" s="295"/>
      <c r="GL23" s="295"/>
      <c r="GM23" s="295"/>
      <c r="GN23" s="295"/>
      <c r="GO23" s="295"/>
      <c r="GP23" s="295"/>
      <c r="GQ23" s="295"/>
      <c r="GR23" s="295"/>
      <c r="GS23" s="295"/>
      <c r="GT23" s="295"/>
      <c r="GU23" s="295"/>
      <c r="GV23" s="295"/>
      <c r="GW23" s="295"/>
      <c r="GX23" s="295"/>
      <c r="GY23" s="295"/>
      <c r="GZ23" s="295"/>
      <c r="HA23" s="295"/>
      <c r="HB23" s="295"/>
      <c r="HC23" s="295"/>
      <c r="HD23" s="295"/>
      <c r="HE23" s="295"/>
      <c r="HF23" s="295"/>
      <c r="HG23" s="295"/>
      <c r="HH23" s="295"/>
      <c r="HI23" s="295"/>
      <c r="HJ23" s="295"/>
      <c r="HK23" s="295"/>
      <c r="HL23" s="295"/>
      <c r="HM23" s="295"/>
      <c r="HN23" s="295"/>
      <c r="HO23" s="295"/>
      <c r="HP23" s="295"/>
      <c r="HQ23" s="295"/>
      <c r="HR23" s="295"/>
      <c r="HS23" s="295"/>
      <c r="HT23" s="295"/>
      <c r="HU23" s="295"/>
      <c r="HV23" s="295"/>
      <c r="HW23" s="295"/>
      <c r="HX23" s="295"/>
      <c r="HY23" s="295"/>
      <c r="HZ23" s="295"/>
      <c r="IA23" s="295"/>
      <c r="IB23" s="295"/>
      <c r="IC23" s="295"/>
      <c r="ID23" s="295"/>
      <c r="IE23" s="295"/>
      <c r="IF23" s="295"/>
      <c r="IG23" s="295"/>
      <c r="IH23" s="295"/>
      <c r="II23" s="295"/>
      <c r="IJ23" s="295"/>
      <c r="IK23" s="295"/>
      <c r="IL23" s="295"/>
      <c r="IM23" s="295"/>
      <c r="IN23" s="295"/>
      <c r="IO23" s="295"/>
      <c r="IP23" s="295"/>
      <c r="IQ23" s="295"/>
      <c r="IR23" s="295"/>
      <c r="IS23" s="295"/>
      <c r="IT23" s="295"/>
      <c r="IU23" s="295"/>
      <c r="IV23" s="295"/>
    </row>
    <row r="24" spans="1:256" ht="12.75">
      <c r="A24" s="312">
        <v>17</v>
      </c>
      <c r="B24" s="313" t="s">
        <v>178</v>
      </c>
      <c r="C24" s="423" t="s">
        <v>335</v>
      </c>
      <c r="D24" s="424"/>
      <c r="E24" s="314" t="s">
        <v>336</v>
      </c>
      <c r="F24" s="315" t="s">
        <v>309</v>
      </c>
      <c r="G24" s="316">
        <v>1087259</v>
      </c>
      <c r="H24" s="316">
        <f t="shared" si="3"/>
        <v>1127487.5829999999</v>
      </c>
      <c r="I24" s="317">
        <f t="shared" si="0"/>
        <v>13529850.996</v>
      </c>
      <c r="J24" s="317">
        <f t="shared" si="4"/>
        <v>118217.99999999999</v>
      </c>
      <c r="K24" s="317">
        <v>398208</v>
      </c>
      <c r="L24" s="317">
        <f t="shared" si="5"/>
        <v>14046276.996</v>
      </c>
      <c r="M24" s="318">
        <v>0.276</v>
      </c>
      <c r="N24" s="319">
        <f t="shared" si="6"/>
        <v>3876772.450896</v>
      </c>
      <c r="O24" s="318">
        <v>0.05</v>
      </c>
      <c r="P24" s="317">
        <f t="shared" si="7"/>
        <v>702313.8498</v>
      </c>
      <c r="Q24" s="320">
        <v>0.483</v>
      </c>
      <c r="R24" s="317">
        <f t="shared" si="1"/>
        <v>6784351.789067999</v>
      </c>
      <c r="S24" s="320">
        <v>0.191</v>
      </c>
      <c r="T24" s="317">
        <f t="shared" si="2"/>
        <v>2682838.906236</v>
      </c>
      <c r="U24" s="321">
        <f t="shared" si="8"/>
        <v>1</v>
      </c>
      <c r="V24" s="294"/>
      <c r="W24" s="294"/>
      <c r="X24" s="294"/>
      <c r="Y24" s="294"/>
      <c r="Z24" s="294"/>
      <c r="AA24" s="294"/>
      <c r="AB24" s="294"/>
      <c r="AC24" s="311"/>
      <c r="AD24" s="311"/>
      <c r="AE24" s="311"/>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295"/>
      <c r="GQ24" s="295"/>
      <c r="GR24" s="295"/>
      <c r="GS24" s="295"/>
      <c r="GT24" s="295"/>
      <c r="GU24" s="295"/>
      <c r="GV24" s="295"/>
      <c r="GW24" s="295"/>
      <c r="GX24" s="295"/>
      <c r="GY24" s="295"/>
      <c r="GZ24" s="295"/>
      <c r="HA24" s="295"/>
      <c r="HB24" s="295"/>
      <c r="HC24" s="295"/>
      <c r="HD24" s="295"/>
      <c r="HE24" s="295"/>
      <c r="HF24" s="295"/>
      <c r="HG24" s="295"/>
      <c r="HH24" s="295"/>
      <c r="HI24" s="295"/>
      <c r="HJ24" s="295"/>
      <c r="HK24" s="295"/>
      <c r="HL24" s="295"/>
      <c r="HM24" s="295"/>
      <c r="HN24" s="295"/>
      <c r="HO24" s="295"/>
      <c r="HP24" s="295"/>
      <c r="HQ24" s="295"/>
      <c r="HR24" s="295"/>
      <c r="HS24" s="295"/>
      <c r="HT24" s="295"/>
      <c r="HU24" s="295"/>
      <c r="HV24" s="295"/>
      <c r="HW24" s="295"/>
      <c r="HX24" s="295"/>
      <c r="HY24" s="295"/>
      <c r="HZ24" s="295"/>
      <c r="IA24" s="295"/>
      <c r="IB24" s="295"/>
      <c r="IC24" s="295"/>
      <c r="ID24" s="295"/>
      <c r="IE24" s="295"/>
      <c r="IF24" s="295"/>
      <c r="IG24" s="295"/>
      <c r="IH24" s="295"/>
      <c r="II24" s="295"/>
      <c r="IJ24" s="295"/>
      <c r="IK24" s="295"/>
      <c r="IL24" s="295"/>
      <c r="IM24" s="295"/>
      <c r="IN24" s="295"/>
      <c r="IO24" s="295"/>
      <c r="IP24" s="295"/>
      <c r="IQ24" s="295"/>
      <c r="IR24" s="295"/>
      <c r="IS24" s="295"/>
      <c r="IT24" s="295"/>
      <c r="IU24" s="295"/>
      <c r="IV24" s="295"/>
    </row>
    <row r="25" spans="1:256" ht="12.75">
      <c r="A25" s="312">
        <v>18</v>
      </c>
      <c r="B25" s="313" t="s">
        <v>178</v>
      </c>
      <c r="C25" s="423" t="s">
        <v>337</v>
      </c>
      <c r="D25" s="424"/>
      <c r="E25" s="314" t="s">
        <v>338</v>
      </c>
      <c r="F25" s="315" t="s">
        <v>309</v>
      </c>
      <c r="G25" s="316">
        <v>1294026</v>
      </c>
      <c r="H25" s="316">
        <f t="shared" si="3"/>
        <v>1341904.9619999998</v>
      </c>
      <c r="I25" s="317">
        <f t="shared" si="0"/>
        <v>16102859.543999998</v>
      </c>
      <c r="J25" s="317">
        <f t="shared" si="4"/>
        <v>118217.99999999999</v>
      </c>
      <c r="K25" s="317">
        <v>398208</v>
      </c>
      <c r="L25" s="317">
        <f t="shared" si="5"/>
        <v>16619285.543999998</v>
      </c>
      <c r="M25" s="318">
        <v>0.12</v>
      </c>
      <c r="N25" s="319">
        <f>+L25*M25</f>
        <v>1994314.2652799997</v>
      </c>
      <c r="O25" s="318">
        <v>0.04</v>
      </c>
      <c r="P25" s="317">
        <f>+L25*O25</f>
        <v>664771.4217599999</v>
      </c>
      <c r="Q25" s="320">
        <v>0.28</v>
      </c>
      <c r="R25" s="317">
        <f>L25*Q25</f>
        <v>4653399.95232</v>
      </c>
      <c r="S25" s="320">
        <v>0.56</v>
      </c>
      <c r="T25" s="317">
        <f>L25*S25</f>
        <v>9306799.90464</v>
      </c>
      <c r="U25" s="321">
        <f t="shared" si="8"/>
        <v>1</v>
      </c>
      <c r="V25" s="294"/>
      <c r="W25" s="294"/>
      <c r="X25" s="294"/>
      <c r="Y25" s="294"/>
      <c r="Z25" s="294"/>
      <c r="AA25" s="294"/>
      <c r="AB25" s="294"/>
      <c r="AC25" s="311"/>
      <c r="AD25" s="311"/>
      <c r="AE25" s="311"/>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row>
    <row r="26" spans="1:256" ht="13.5" thickBot="1">
      <c r="A26" s="312">
        <v>19</v>
      </c>
      <c r="B26" s="313" t="s">
        <v>178</v>
      </c>
      <c r="C26" s="423" t="s">
        <v>339</v>
      </c>
      <c r="D26" s="424"/>
      <c r="E26" s="314" t="s">
        <v>334</v>
      </c>
      <c r="F26" s="315" t="s">
        <v>309</v>
      </c>
      <c r="G26" s="316">
        <v>551709</v>
      </c>
      <c r="H26" s="316">
        <f t="shared" si="3"/>
        <v>572122.233</v>
      </c>
      <c r="I26" s="317">
        <f t="shared" si="0"/>
        <v>6865466.796</v>
      </c>
      <c r="J26" s="317">
        <f t="shared" si="4"/>
        <v>118217.99999999999</v>
      </c>
      <c r="K26" s="317">
        <v>398208</v>
      </c>
      <c r="L26" s="322">
        <f t="shared" si="5"/>
        <v>7381892.796</v>
      </c>
      <c r="M26" s="318">
        <v>0.15</v>
      </c>
      <c r="N26" s="319">
        <f t="shared" si="6"/>
        <v>1107283.9194</v>
      </c>
      <c r="O26" s="318">
        <v>0.1</v>
      </c>
      <c r="P26" s="317">
        <f t="shared" si="7"/>
        <v>738189.2796</v>
      </c>
      <c r="Q26" s="320">
        <v>0.4</v>
      </c>
      <c r="R26" s="322">
        <f t="shared" si="1"/>
        <v>2952757.1184</v>
      </c>
      <c r="S26" s="320">
        <v>0.35</v>
      </c>
      <c r="T26" s="322">
        <f t="shared" si="2"/>
        <v>2583662.4786</v>
      </c>
      <c r="U26" s="321">
        <f t="shared" si="8"/>
        <v>1</v>
      </c>
      <c r="V26" s="294"/>
      <c r="W26" s="294"/>
      <c r="X26" s="294"/>
      <c r="Y26" s="294"/>
      <c r="Z26" s="294"/>
      <c r="AA26" s="294"/>
      <c r="AB26" s="294"/>
      <c r="AC26" s="311"/>
      <c r="AD26" s="311"/>
      <c r="AE26" s="311"/>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c r="FF26" s="295"/>
      <c r="FG26" s="295"/>
      <c r="FH26" s="295"/>
      <c r="FI26" s="295"/>
      <c r="FJ26" s="295"/>
      <c r="FK26" s="295"/>
      <c r="FL26" s="295"/>
      <c r="FM26" s="295"/>
      <c r="FN26" s="295"/>
      <c r="FO26" s="295"/>
      <c r="FP26" s="295"/>
      <c r="FQ26" s="295"/>
      <c r="FR26" s="295"/>
      <c r="FS26" s="295"/>
      <c r="FT26" s="295"/>
      <c r="FU26" s="295"/>
      <c r="FV26" s="295"/>
      <c r="FW26" s="295"/>
      <c r="FX26" s="295"/>
      <c r="FY26" s="295"/>
      <c r="FZ26" s="295"/>
      <c r="GA26" s="295"/>
      <c r="GB26" s="295"/>
      <c r="GC26" s="295"/>
      <c r="GD26" s="295"/>
      <c r="GE26" s="295"/>
      <c r="GF26" s="295"/>
      <c r="GG26" s="295"/>
      <c r="GH26" s="295"/>
      <c r="GI26" s="295"/>
      <c r="GJ26" s="295"/>
      <c r="GK26" s="295"/>
      <c r="GL26" s="295"/>
      <c r="GM26" s="295"/>
      <c r="GN26" s="295"/>
      <c r="GO26" s="295"/>
      <c r="GP26" s="295"/>
      <c r="GQ26" s="295"/>
      <c r="GR26" s="295"/>
      <c r="GS26" s="295"/>
      <c r="GT26" s="295"/>
      <c r="GU26" s="295"/>
      <c r="GV26" s="295"/>
      <c r="GW26" s="295"/>
      <c r="GX26" s="295"/>
      <c r="GY26" s="295"/>
      <c r="GZ26" s="295"/>
      <c r="HA26" s="295"/>
      <c r="HB26" s="295"/>
      <c r="HC26" s="295"/>
      <c r="HD26" s="295"/>
      <c r="HE26" s="295"/>
      <c r="HF26" s="295"/>
      <c r="HG26" s="295"/>
      <c r="HH26" s="295"/>
      <c r="HI26" s="295"/>
      <c r="HJ26" s="295"/>
      <c r="HK26" s="295"/>
      <c r="HL26" s="295"/>
      <c r="HM26" s="295"/>
      <c r="HN26" s="295"/>
      <c r="HO26" s="295"/>
      <c r="HP26" s="295"/>
      <c r="HQ26" s="295"/>
      <c r="HR26" s="295"/>
      <c r="HS26" s="295"/>
      <c r="HT26" s="295"/>
      <c r="HU26" s="295"/>
      <c r="HV26" s="295"/>
      <c r="HW26" s="295"/>
      <c r="HX26" s="295"/>
      <c r="HY26" s="295"/>
      <c r="HZ26" s="295"/>
      <c r="IA26" s="295"/>
      <c r="IB26" s="295"/>
      <c r="IC26" s="295"/>
      <c r="ID26" s="295"/>
      <c r="IE26" s="295"/>
      <c r="IF26" s="295"/>
      <c r="IG26" s="295"/>
      <c r="IH26" s="295"/>
      <c r="II26" s="295"/>
      <c r="IJ26" s="295"/>
      <c r="IK26" s="295"/>
      <c r="IL26" s="295"/>
      <c r="IM26" s="295"/>
      <c r="IN26" s="295"/>
      <c r="IO26" s="295"/>
      <c r="IP26" s="295"/>
      <c r="IQ26" s="295"/>
      <c r="IR26" s="295"/>
      <c r="IS26" s="295"/>
      <c r="IT26" s="295"/>
      <c r="IU26" s="295"/>
      <c r="IV26" s="295"/>
    </row>
    <row r="27" spans="1:256" ht="16.5" thickBot="1" thickTop="1">
      <c r="A27" s="323"/>
      <c r="B27" s="324"/>
      <c r="C27" s="325"/>
      <c r="D27" s="325"/>
      <c r="E27" s="326"/>
      <c r="F27" s="327"/>
      <c r="G27" s="328">
        <f aca="true" t="shared" si="9" ref="G27:L27">SUM(G8:G26)</f>
        <v>15009440</v>
      </c>
      <c r="H27" s="328">
        <f t="shared" si="9"/>
        <v>15564789.279999997</v>
      </c>
      <c r="I27" s="329">
        <f t="shared" si="9"/>
        <v>186777471.35999998</v>
      </c>
      <c r="J27" s="330">
        <f t="shared" si="9"/>
        <v>2246142</v>
      </c>
      <c r="K27" s="331">
        <f t="shared" si="9"/>
        <v>7565952</v>
      </c>
      <c r="L27" s="332">
        <f t="shared" si="9"/>
        <v>196589565.35999998</v>
      </c>
      <c r="M27" s="311"/>
      <c r="N27" s="333">
        <f>SUM(N8:N26)</f>
        <v>37498816.73538</v>
      </c>
      <c r="O27" s="334"/>
      <c r="P27" s="333">
        <f>SUM(P8:P26)</f>
        <v>13877356.826411998</v>
      </c>
      <c r="Q27" s="334"/>
      <c r="R27" s="333">
        <f>SUM(R8:R26)</f>
        <v>81141997.66934401</v>
      </c>
      <c r="S27" s="334"/>
      <c r="T27" s="333">
        <f>SUM(T8:T26)</f>
        <v>64071394.128864</v>
      </c>
      <c r="U27" s="295"/>
      <c r="V27" s="294"/>
      <c r="W27" s="294"/>
      <c r="X27" s="294"/>
      <c r="Y27" s="294"/>
      <c r="Z27" s="294"/>
      <c r="AA27" s="294"/>
      <c r="AB27" s="294"/>
      <c r="AC27" s="33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95"/>
      <c r="EN27" s="295"/>
      <c r="EO27" s="295"/>
      <c r="EP27" s="295"/>
      <c r="EQ27" s="295"/>
      <c r="ER27" s="295"/>
      <c r="ES27" s="295"/>
      <c r="ET27" s="295"/>
      <c r="EU27" s="295"/>
      <c r="EV27" s="295"/>
      <c r="EW27" s="295"/>
      <c r="EX27" s="295"/>
      <c r="EY27" s="295"/>
      <c r="EZ27" s="295"/>
      <c r="FA27" s="295"/>
      <c r="FB27" s="295"/>
      <c r="FC27" s="295"/>
      <c r="FD27" s="295"/>
      <c r="FE27" s="295"/>
      <c r="FF27" s="295"/>
      <c r="FG27" s="295"/>
      <c r="FH27" s="295"/>
      <c r="FI27" s="295"/>
      <c r="FJ27" s="295"/>
      <c r="FK27" s="295"/>
      <c r="FL27" s="295"/>
      <c r="FM27" s="295"/>
      <c r="FN27" s="295"/>
      <c r="FO27" s="295"/>
      <c r="FP27" s="295"/>
      <c r="FQ27" s="295"/>
      <c r="FR27" s="295"/>
      <c r="FS27" s="295"/>
      <c r="FT27" s="295"/>
      <c r="FU27" s="295"/>
      <c r="FV27" s="295"/>
      <c r="FW27" s="295"/>
      <c r="FX27" s="295"/>
      <c r="FY27" s="295"/>
      <c r="FZ27" s="295"/>
      <c r="GA27" s="295"/>
      <c r="GB27" s="295"/>
      <c r="GC27" s="295"/>
      <c r="GD27" s="295"/>
      <c r="GE27" s="295"/>
      <c r="GF27" s="295"/>
      <c r="GG27" s="295"/>
      <c r="GH27" s="295"/>
      <c r="GI27" s="295"/>
      <c r="GJ27" s="295"/>
      <c r="GK27" s="295"/>
      <c r="GL27" s="295"/>
      <c r="GM27" s="295"/>
      <c r="GN27" s="295"/>
      <c r="GO27" s="295"/>
      <c r="GP27" s="295"/>
      <c r="GQ27" s="295"/>
      <c r="GR27" s="295"/>
      <c r="GS27" s="295"/>
      <c r="GT27" s="295"/>
      <c r="GU27" s="295"/>
      <c r="GV27" s="295"/>
      <c r="GW27" s="295"/>
      <c r="GX27" s="295"/>
      <c r="GY27" s="295"/>
      <c r="GZ27" s="295"/>
      <c r="HA27" s="295"/>
      <c r="HB27" s="295"/>
      <c r="HC27" s="295"/>
      <c r="HD27" s="295"/>
      <c r="HE27" s="295"/>
      <c r="HF27" s="295"/>
      <c r="HG27" s="295"/>
      <c r="HH27" s="295"/>
      <c r="HI27" s="295"/>
      <c r="HJ27" s="295"/>
      <c r="HK27" s="295"/>
      <c r="HL27" s="295"/>
      <c r="HM27" s="295"/>
      <c r="HN27" s="295"/>
      <c r="HO27" s="295"/>
      <c r="HP27" s="295"/>
      <c r="HQ27" s="295"/>
      <c r="HR27" s="295"/>
      <c r="HS27" s="295"/>
      <c r="HT27" s="295"/>
      <c r="HU27" s="295"/>
      <c r="HV27" s="295"/>
      <c r="HW27" s="295"/>
      <c r="HX27" s="295"/>
      <c r="HY27" s="295"/>
      <c r="HZ27" s="295"/>
      <c r="IA27" s="295"/>
      <c r="IB27" s="295"/>
      <c r="IC27" s="295"/>
      <c r="ID27" s="295"/>
      <c r="IE27" s="295"/>
      <c r="IF27" s="295"/>
      <c r="IG27" s="295"/>
      <c r="IH27" s="295"/>
      <c r="II27" s="295"/>
      <c r="IJ27" s="295"/>
      <c r="IK27" s="295"/>
      <c r="IL27" s="295"/>
      <c r="IM27" s="295"/>
      <c r="IN27" s="295"/>
      <c r="IO27" s="295"/>
      <c r="IP27" s="295"/>
      <c r="IQ27" s="295"/>
      <c r="IR27" s="295"/>
      <c r="IS27" s="295"/>
      <c r="IT27" s="295"/>
      <c r="IU27" s="295"/>
      <c r="IV27" s="295"/>
    </row>
    <row r="28" spans="1:256" ht="14.25" thickTop="1">
      <c r="A28" s="296"/>
      <c r="B28" s="295"/>
      <c r="C28" s="295"/>
      <c r="D28" s="295"/>
      <c r="E28" s="295"/>
      <c r="F28" s="295"/>
      <c r="G28" s="295"/>
      <c r="H28" s="295"/>
      <c r="I28" s="295"/>
      <c r="J28" s="295"/>
      <c r="K28" s="295"/>
      <c r="L28" s="336">
        <v>1</v>
      </c>
      <c r="M28" s="337"/>
      <c r="N28" s="338">
        <f>N27/$L$27</f>
        <v>0.190746729953399</v>
      </c>
      <c r="O28" s="337"/>
      <c r="P28" s="338">
        <f>P27/$L$27</f>
        <v>0.07059050566086464</v>
      </c>
      <c r="Q28" s="337"/>
      <c r="R28" s="339">
        <f>R27/$L$27</f>
        <v>0.412748242872172</v>
      </c>
      <c r="S28" s="337"/>
      <c r="T28" s="339">
        <f>T27/$L$27</f>
        <v>0.3259145215135644</v>
      </c>
      <c r="U28" s="294"/>
      <c r="V28" s="294"/>
      <c r="W28" s="294"/>
      <c r="X28" s="294"/>
      <c r="Y28" s="294"/>
      <c r="Z28" s="294"/>
      <c r="AA28" s="294"/>
      <c r="AB28" s="294"/>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295"/>
      <c r="HX28" s="295"/>
      <c r="HY28" s="295"/>
      <c r="HZ28" s="295"/>
      <c r="IA28" s="295"/>
      <c r="IB28" s="295"/>
      <c r="IC28" s="295"/>
      <c r="ID28" s="295"/>
      <c r="IE28" s="295"/>
      <c r="IF28" s="295"/>
      <c r="IG28" s="295"/>
      <c r="IH28" s="295"/>
      <c r="II28" s="295"/>
      <c r="IJ28" s="295"/>
      <c r="IK28" s="295"/>
      <c r="IL28" s="295"/>
      <c r="IM28" s="295"/>
      <c r="IN28" s="295"/>
      <c r="IO28" s="295"/>
      <c r="IP28" s="295"/>
      <c r="IQ28" s="295"/>
      <c r="IR28" s="295"/>
      <c r="IS28" s="295"/>
      <c r="IT28" s="295"/>
      <c r="IU28" s="295"/>
      <c r="IV28" s="295"/>
    </row>
  </sheetData>
  <sheetProtection password="C581" sheet="1" objects="1" scenarios="1"/>
  <mergeCells count="20">
    <mergeCell ref="C25:D25"/>
    <mergeCell ref="C26:D26"/>
    <mergeCell ref="C19:D19"/>
    <mergeCell ref="C20:D20"/>
    <mergeCell ref="C21:D21"/>
    <mergeCell ref="C22:D22"/>
    <mergeCell ref="C23:D23"/>
    <mergeCell ref="C24:D24"/>
    <mergeCell ref="C13:D13"/>
    <mergeCell ref="C14:D14"/>
    <mergeCell ref="C15:D15"/>
    <mergeCell ref="C16:D16"/>
    <mergeCell ref="C17:D17"/>
    <mergeCell ref="C18:D18"/>
    <mergeCell ref="C7:D7"/>
    <mergeCell ref="C8:D8"/>
    <mergeCell ref="C9:D9"/>
    <mergeCell ref="C10:D10"/>
    <mergeCell ref="C11:D11"/>
    <mergeCell ref="C12:D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AI21"/>
  <sheetViews>
    <sheetView zoomScale="75" zoomScaleNormal="75" zoomScalePageLayoutView="0" workbookViewId="0" topLeftCell="A1">
      <selection activeCell="AE21" sqref="AE21"/>
    </sheetView>
  </sheetViews>
  <sheetFormatPr defaultColWidth="11.421875" defaultRowHeight="12.75"/>
  <cols>
    <col min="1" max="1" width="1.57421875" style="0" customWidth="1"/>
    <col min="2" max="2" width="16.28125" style="0" customWidth="1"/>
    <col min="3" max="3" width="10.7109375" style="0" customWidth="1"/>
    <col min="4" max="4" width="9.57421875" style="0" customWidth="1"/>
    <col min="5" max="5" width="12.7109375" style="0" customWidth="1"/>
    <col min="6" max="6" width="9.421875" style="0" customWidth="1"/>
    <col min="7" max="7" width="11.421875" style="0" customWidth="1"/>
    <col min="8" max="8" width="12.57421875" style="0" customWidth="1"/>
    <col min="9" max="9" width="9.140625" style="0" customWidth="1"/>
    <col min="10" max="10" width="8.00390625" style="0" customWidth="1"/>
    <col min="11" max="11" width="13.421875" style="0" customWidth="1"/>
    <col min="12" max="12" width="2.00390625" style="0" customWidth="1"/>
    <col min="13" max="13" width="14.00390625" style="0" customWidth="1"/>
    <col min="14" max="14" width="10.421875" style="0" customWidth="1"/>
    <col min="15" max="15" width="8.57421875" style="0" customWidth="1"/>
    <col min="16" max="16" width="14.28125" style="0" customWidth="1"/>
    <col min="17" max="17" width="9.140625" style="0" customWidth="1"/>
    <col min="18" max="18" width="13.140625" style="0" customWidth="1"/>
    <col min="19" max="19" width="14.28125" style="0" customWidth="1"/>
    <col min="20" max="20" width="9.00390625" style="0" customWidth="1"/>
    <col min="21" max="21" width="9.140625" style="0" customWidth="1"/>
    <col min="22" max="22" width="13.421875" style="0" customWidth="1"/>
    <col min="23" max="23" width="2.140625" style="0" customWidth="1"/>
    <col min="24" max="24" width="10.28125" style="0" customWidth="1"/>
    <col min="25" max="25" width="8.421875" style="0" customWidth="1"/>
    <col min="26" max="26" width="7.8515625" style="0" customWidth="1"/>
    <col min="27" max="29" width="12.421875" style="0" customWidth="1"/>
    <col min="30" max="30" width="14.8515625" style="0" customWidth="1"/>
    <col min="31" max="31" width="11.8515625" style="0" customWidth="1"/>
    <col min="32" max="32" width="9.28125" style="0" customWidth="1"/>
    <col min="33" max="33" width="14.28125" style="0" customWidth="1"/>
  </cols>
  <sheetData>
    <row r="2" spans="2:24" ht="15">
      <c r="B2" s="133" t="s">
        <v>182</v>
      </c>
      <c r="C2" s="134"/>
      <c r="D2" s="134"/>
      <c r="E2" s="134"/>
      <c r="F2" s="134"/>
      <c r="G2" s="134"/>
      <c r="H2" s="134"/>
      <c r="I2" s="134"/>
      <c r="J2" s="134"/>
      <c r="K2" s="134"/>
      <c r="L2" s="134"/>
      <c r="M2" s="133" t="s">
        <v>183</v>
      </c>
      <c r="N2" s="134"/>
      <c r="O2" s="134"/>
      <c r="P2" s="134"/>
      <c r="Q2" s="134"/>
      <c r="R2" s="134"/>
      <c r="S2" s="134"/>
      <c r="T2" s="134"/>
      <c r="U2" s="134"/>
      <c r="V2" s="134"/>
      <c r="W2" s="134"/>
      <c r="X2" s="133" t="s">
        <v>184</v>
      </c>
    </row>
    <row r="3" spans="3:33" ht="12.75">
      <c r="C3" s="135"/>
      <c r="D3" s="135"/>
      <c r="E3" s="135"/>
      <c r="F3" s="135"/>
      <c r="G3" s="135"/>
      <c r="H3" s="135"/>
      <c r="I3" s="135"/>
      <c r="J3" s="135"/>
      <c r="K3" s="135"/>
      <c r="N3" s="135"/>
      <c r="O3" s="135"/>
      <c r="P3" s="135"/>
      <c r="Q3" s="135"/>
      <c r="R3" s="135"/>
      <c r="S3" s="135"/>
      <c r="T3" s="135"/>
      <c r="U3" s="135"/>
      <c r="V3" s="135"/>
      <c r="Y3" s="135"/>
      <c r="Z3" s="135"/>
      <c r="AA3" s="135"/>
      <c r="AB3" s="135"/>
      <c r="AC3" s="135"/>
      <c r="AD3" s="135"/>
      <c r="AE3" s="135"/>
      <c r="AF3" s="135"/>
      <c r="AG3" s="135"/>
    </row>
    <row r="4" spans="2:33" ht="12.75">
      <c r="B4" s="135"/>
      <c r="C4" s="136"/>
      <c r="D4" s="137" t="s">
        <v>185</v>
      </c>
      <c r="E4" s="138"/>
      <c r="F4" s="136"/>
      <c r="G4" s="137" t="s">
        <v>186</v>
      </c>
      <c r="H4" s="138"/>
      <c r="I4" s="139"/>
      <c r="J4" s="140" t="s">
        <v>187</v>
      </c>
      <c r="K4" s="141"/>
      <c r="M4" s="135"/>
      <c r="N4" s="136"/>
      <c r="O4" s="137" t="s">
        <v>185</v>
      </c>
      <c r="P4" s="138"/>
      <c r="Q4" s="136"/>
      <c r="R4" s="137" t="s">
        <v>186</v>
      </c>
      <c r="S4" s="138"/>
      <c r="T4" s="139"/>
      <c r="U4" s="140" t="s">
        <v>187</v>
      </c>
      <c r="V4" s="141"/>
      <c r="X4" s="135"/>
      <c r="Y4" s="136"/>
      <c r="Z4" s="137" t="s">
        <v>185</v>
      </c>
      <c r="AA4" s="138"/>
      <c r="AB4" s="139"/>
      <c r="AC4" s="137" t="s">
        <v>186</v>
      </c>
      <c r="AD4" s="141"/>
      <c r="AE4" s="139"/>
      <c r="AF4" s="140" t="s">
        <v>187</v>
      </c>
      <c r="AG4" s="141"/>
    </row>
    <row r="5" spans="2:33" ht="12.75">
      <c r="B5" s="142" t="s">
        <v>210</v>
      </c>
      <c r="C5" s="143" t="s">
        <v>189</v>
      </c>
      <c r="D5" s="143" t="s">
        <v>190</v>
      </c>
      <c r="E5" s="143" t="s">
        <v>191</v>
      </c>
      <c r="F5" s="143" t="s">
        <v>189</v>
      </c>
      <c r="G5" s="143" t="s">
        <v>190</v>
      </c>
      <c r="H5" s="143" t="s">
        <v>191</v>
      </c>
      <c r="I5" s="143" t="s">
        <v>189</v>
      </c>
      <c r="J5" s="143" t="s">
        <v>190</v>
      </c>
      <c r="K5" s="143" t="s">
        <v>191</v>
      </c>
      <c r="M5" s="142" t="s">
        <v>210</v>
      </c>
      <c r="N5" s="143" t="s">
        <v>192</v>
      </c>
      <c r="O5" s="143" t="s">
        <v>190</v>
      </c>
      <c r="P5" s="143" t="s">
        <v>191</v>
      </c>
      <c r="Q5" s="143" t="s">
        <v>192</v>
      </c>
      <c r="R5" s="143" t="s">
        <v>190</v>
      </c>
      <c r="S5" s="143" t="s">
        <v>191</v>
      </c>
      <c r="T5" s="143" t="s">
        <v>192</v>
      </c>
      <c r="U5" s="143" t="s">
        <v>190</v>
      </c>
      <c r="V5" s="143" t="s">
        <v>191</v>
      </c>
      <c r="X5" s="142" t="s">
        <v>188</v>
      </c>
      <c r="Y5" s="143" t="s">
        <v>193</v>
      </c>
      <c r="Z5" s="143" t="s">
        <v>190</v>
      </c>
      <c r="AA5" s="143" t="s">
        <v>191</v>
      </c>
      <c r="AB5" s="143" t="s">
        <v>193</v>
      </c>
      <c r="AC5" s="143" t="s">
        <v>190</v>
      </c>
      <c r="AD5" s="143" t="s">
        <v>191</v>
      </c>
      <c r="AE5" s="143" t="s">
        <v>193</v>
      </c>
      <c r="AF5" s="143" t="s">
        <v>190</v>
      </c>
      <c r="AG5" s="143" t="s">
        <v>191</v>
      </c>
    </row>
    <row r="6" spans="2:35" ht="12.75">
      <c r="B6" s="144" t="s">
        <v>194</v>
      </c>
      <c r="C6" s="145">
        <v>1082</v>
      </c>
      <c r="D6" s="145">
        <f>91970/1082</f>
        <v>85</v>
      </c>
      <c r="E6" s="146">
        <f>+C6*D6</f>
        <v>91970</v>
      </c>
      <c r="F6" s="147">
        <v>279</v>
      </c>
      <c r="G6" s="147">
        <v>84</v>
      </c>
      <c r="H6" s="146">
        <f>+F6*G6</f>
        <v>23436</v>
      </c>
      <c r="I6" s="148">
        <f>(C6+F6)/2</f>
        <v>680.5</v>
      </c>
      <c r="J6" s="145">
        <v>100</v>
      </c>
      <c r="K6" s="146">
        <f>+I6*J6</f>
        <v>68050</v>
      </c>
      <c r="M6" s="144" t="s">
        <v>194</v>
      </c>
      <c r="N6" s="147">
        <v>71</v>
      </c>
      <c r="O6" s="147">
        <v>371</v>
      </c>
      <c r="P6" s="146">
        <f>+N6*O6</f>
        <v>26341</v>
      </c>
      <c r="Q6" s="147">
        <v>71</v>
      </c>
      <c r="R6" s="147">
        <v>371</v>
      </c>
      <c r="S6" s="146">
        <f>+Q6*R6</f>
        <v>26341</v>
      </c>
      <c r="T6" s="146">
        <f>+(N6+Q6)/2</f>
        <v>71</v>
      </c>
      <c r="U6" s="147">
        <v>521</v>
      </c>
      <c r="V6" s="146">
        <f>+T6*U6</f>
        <v>36991</v>
      </c>
      <c r="X6" s="144" t="s">
        <v>194</v>
      </c>
      <c r="Y6" s="144">
        <v>450</v>
      </c>
      <c r="Z6" s="144">
        <v>317</v>
      </c>
      <c r="AA6" s="146">
        <f>+Y6*Z6</f>
        <v>142650</v>
      </c>
      <c r="AB6" s="146">
        <v>326</v>
      </c>
      <c r="AC6" s="144">
        <v>340</v>
      </c>
      <c r="AD6" s="146">
        <f>+AB6*AC6</f>
        <v>110840</v>
      </c>
      <c r="AE6" s="146">
        <f>+(Y6+AB6)/2</f>
        <v>388</v>
      </c>
      <c r="AF6" s="144">
        <v>355</v>
      </c>
      <c r="AG6" s="146">
        <f>+AE6*AF6</f>
        <v>137740</v>
      </c>
      <c r="AI6">
        <f>1375*1359</f>
        <v>1868625</v>
      </c>
    </row>
    <row r="7" spans="2:33" ht="12.75">
      <c r="B7" s="144" t="s">
        <v>195</v>
      </c>
      <c r="C7" s="145">
        <v>782</v>
      </c>
      <c r="D7" s="145">
        <f>68816/782</f>
        <v>88</v>
      </c>
      <c r="E7" s="146">
        <f aca="true" t="shared" si="0" ref="E7:E17">+C7*D7</f>
        <v>68816</v>
      </c>
      <c r="F7" s="147">
        <v>1971</v>
      </c>
      <c r="G7" s="147">
        <f>165564/1971</f>
        <v>84</v>
      </c>
      <c r="H7" s="146">
        <f aca="true" t="shared" si="1" ref="H7:H17">+F7*G7</f>
        <v>165564</v>
      </c>
      <c r="I7" s="148">
        <f aca="true" t="shared" si="2" ref="I7:I12">(C7+F7)/2</f>
        <v>1376.5</v>
      </c>
      <c r="J7" s="145">
        <v>100</v>
      </c>
      <c r="K7" s="146">
        <f aca="true" t="shared" si="3" ref="K7:K17">+I7*J7</f>
        <v>137650</v>
      </c>
      <c r="M7" s="144" t="s">
        <v>195</v>
      </c>
      <c r="N7" s="147">
        <v>1</v>
      </c>
      <c r="O7" s="147">
        <v>360</v>
      </c>
      <c r="P7" s="146">
        <f aca="true" t="shared" si="4" ref="P7:P17">+N7*O7</f>
        <v>360</v>
      </c>
      <c r="Q7" s="147">
        <v>115</v>
      </c>
      <c r="R7" s="147">
        <f>44045/115</f>
        <v>383</v>
      </c>
      <c r="S7" s="146">
        <f aca="true" t="shared" si="5" ref="S7:S17">+Q7*R7</f>
        <v>44045</v>
      </c>
      <c r="T7" s="146">
        <f aca="true" t="shared" si="6" ref="T7:T12">+(N7+Q7)/2</f>
        <v>58</v>
      </c>
      <c r="U7" s="147">
        <v>521</v>
      </c>
      <c r="V7" s="146">
        <f aca="true" t="shared" si="7" ref="V7:V17">+T7*U7</f>
        <v>30218</v>
      </c>
      <c r="X7" s="144" t="s">
        <v>195</v>
      </c>
      <c r="Y7" s="144">
        <v>525</v>
      </c>
      <c r="Z7" s="144">
        <v>309</v>
      </c>
      <c r="AA7" s="146">
        <f aca="true" t="shared" si="8" ref="AA7:AA17">+Y7*Z7</f>
        <v>162225</v>
      </c>
      <c r="AB7" s="146">
        <v>307</v>
      </c>
      <c r="AC7" s="144">
        <v>340</v>
      </c>
      <c r="AD7" s="146">
        <f aca="true" t="shared" si="9" ref="AD7:AD17">+AB7*AC7</f>
        <v>104380</v>
      </c>
      <c r="AE7" s="146">
        <f aca="true" t="shared" si="10" ref="AE7:AE13">+(Y7+AB7)/2</f>
        <v>416</v>
      </c>
      <c r="AF7" s="144">
        <v>355</v>
      </c>
      <c r="AG7" s="146">
        <f aca="true" t="shared" si="11" ref="AG7:AG17">+AE7*AF7</f>
        <v>147680</v>
      </c>
    </row>
    <row r="8" spans="2:33" ht="12.75">
      <c r="B8" s="144" t="s">
        <v>196</v>
      </c>
      <c r="C8" s="147">
        <v>1291</v>
      </c>
      <c r="D8" s="147">
        <f>96825/1291</f>
        <v>75</v>
      </c>
      <c r="E8" s="146">
        <f t="shared" si="0"/>
        <v>96825</v>
      </c>
      <c r="F8" s="147">
        <v>2522</v>
      </c>
      <c r="G8" s="147">
        <v>77</v>
      </c>
      <c r="H8" s="146">
        <f t="shared" si="1"/>
        <v>194194</v>
      </c>
      <c r="I8" s="148">
        <f t="shared" si="2"/>
        <v>1906.5</v>
      </c>
      <c r="J8" s="145">
        <v>100</v>
      </c>
      <c r="K8" s="146">
        <f t="shared" si="3"/>
        <v>190650</v>
      </c>
      <c r="M8" s="144" t="s">
        <v>196</v>
      </c>
      <c r="N8" s="147">
        <v>48</v>
      </c>
      <c r="O8" s="147">
        <v>367</v>
      </c>
      <c r="P8" s="146">
        <f t="shared" si="4"/>
        <v>17616</v>
      </c>
      <c r="Q8" s="147">
        <v>113</v>
      </c>
      <c r="R8" s="147">
        <f>49494/113</f>
        <v>438</v>
      </c>
      <c r="S8" s="146">
        <f t="shared" si="5"/>
        <v>49494</v>
      </c>
      <c r="T8" s="146">
        <f t="shared" si="6"/>
        <v>80.5</v>
      </c>
      <c r="U8" s="147">
        <v>521</v>
      </c>
      <c r="V8" s="146">
        <f t="shared" si="7"/>
        <v>41940.5</v>
      </c>
      <c r="X8" s="144" t="s">
        <v>196</v>
      </c>
      <c r="Y8" s="144">
        <v>525</v>
      </c>
      <c r="Z8" s="144">
        <v>309</v>
      </c>
      <c r="AA8" s="146">
        <f t="shared" si="8"/>
        <v>162225</v>
      </c>
      <c r="AB8" s="146">
        <v>516</v>
      </c>
      <c r="AC8" s="144">
        <v>340</v>
      </c>
      <c r="AD8" s="146">
        <f t="shared" si="9"/>
        <v>175440</v>
      </c>
      <c r="AE8" s="146">
        <f t="shared" si="10"/>
        <v>520.5</v>
      </c>
      <c r="AF8" s="144">
        <v>355</v>
      </c>
      <c r="AG8" s="146">
        <f t="shared" si="11"/>
        <v>184777.5</v>
      </c>
    </row>
    <row r="9" spans="2:33" ht="12.75">
      <c r="B9" s="144" t="s">
        <v>197</v>
      </c>
      <c r="C9" s="147">
        <v>1526</v>
      </c>
      <c r="D9" s="147">
        <f>76300/1526</f>
        <v>50</v>
      </c>
      <c r="E9" s="146">
        <f t="shared" si="0"/>
        <v>76300</v>
      </c>
      <c r="F9" s="147">
        <v>2002</v>
      </c>
      <c r="G9" s="147">
        <v>72</v>
      </c>
      <c r="H9" s="146">
        <f t="shared" si="1"/>
        <v>144144</v>
      </c>
      <c r="I9" s="148">
        <f t="shared" si="2"/>
        <v>1764</v>
      </c>
      <c r="J9" s="145">
        <v>100</v>
      </c>
      <c r="K9" s="146">
        <f t="shared" si="3"/>
        <v>176400</v>
      </c>
      <c r="M9" s="144" t="s">
        <v>197</v>
      </c>
      <c r="N9" s="147">
        <v>26</v>
      </c>
      <c r="O9" s="147">
        <v>366</v>
      </c>
      <c r="P9" s="146">
        <f t="shared" si="4"/>
        <v>9516</v>
      </c>
      <c r="Q9" s="147">
        <v>81</v>
      </c>
      <c r="R9" s="147">
        <v>385</v>
      </c>
      <c r="S9" s="146">
        <f t="shared" si="5"/>
        <v>31185</v>
      </c>
      <c r="T9" s="146">
        <f t="shared" si="6"/>
        <v>53.5</v>
      </c>
      <c r="U9" s="147">
        <v>521</v>
      </c>
      <c r="V9" s="146">
        <f t="shared" si="7"/>
        <v>27873.5</v>
      </c>
      <c r="X9" s="144" t="s">
        <v>197</v>
      </c>
      <c r="Y9" s="144">
        <v>1000</v>
      </c>
      <c r="Z9" s="144">
        <v>302</v>
      </c>
      <c r="AA9" s="146">
        <f t="shared" si="8"/>
        <v>302000</v>
      </c>
      <c r="AB9" s="144">
        <v>591</v>
      </c>
      <c r="AC9" s="144">
        <v>375</v>
      </c>
      <c r="AD9" s="146">
        <f t="shared" si="9"/>
        <v>221625</v>
      </c>
      <c r="AE9" s="146">
        <f t="shared" si="10"/>
        <v>795.5</v>
      </c>
      <c r="AF9" s="144">
        <v>392</v>
      </c>
      <c r="AG9" s="146">
        <f t="shared" si="11"/>
        <v>311836</v>
      </c>
    </row>
    <row r="10" spans="2:33" ht="12.75">
      <c r="B10" s="144" t="s">
        <v>198</v>
      </c>
      <c r="C10" s="147">
        <v>1660</v>
      </c>
      <c r="D10" s="147">
        <f>111220/1660</f>
        <v>67</v>
      </c>
      <c r="E10" s="146">
        <f t="shared" si="0"/>
        <v>111220</v>
      </c>
      <c r="F10" s="147">
        <v>2119</v>
      </c>
      <c r="G10" s="147">
        <v>70</v>
      </c>
      <c r="H10" s="146">
        <f t="shared" si="1"/>
        <v>148330</v>
      </c>
      <c r="I10" s="148">
        <f t="shared" si="2"/>
        <v>1889.5</v>
      </c>
      <c r="J10" s="145">
        <v>100</v>
      </c>
      <c r="K10" s="146">
        <f t="shared" si="3"/>
        <v>188950</v>
      </c>
      <c r="M10" s="144" t="s">
        <v>198</v>
      </c>
      <c r="N10" s="147">
        <v>31</v>
      </c>
      <c r="O10" s="147">
        <v>363</v>
      </c>
      <c r="P10" s="146">
        <f t="shared" si="4"/>
        <v>11253</v>
      </c>
      <c r="Q10" s="147">
        <v>100</v>
      </c>
      <c r="R10" s="147">
        <v>386</v>
      </c>
      <c r="S10" s="146">
        <f t="shared" si="5"/>
        <v>38600</v>
      </c>
      <c r="T10" s="146">
        <f t="shared" si="6"/>
        <v>65.5</v>
      </c>
      <c r="U10" s="147">
        <v>521</v>
      </c>
      <c r="V10" s="146">
        <f t="shared" si="7"/>
        <v>34125.5</v>
      </c>
      <c r="X10" s="144" t="s">
        <v>198</v>
      </c>
      <c r="Y10" s="144">
        <v>1100</v>
      </c>
      <c r="Z10" s="144">
        <v>278</v>
      </c>
      <c r="AA10" s="146">
        <f t="shared" si="8"/>
        <v>305800</v>
      </c>
      <c r="AB10" s="144">
        <v>1027</v>
      </c>
      <c r="AC10" s="144">
        <v>375</v>
      </c>
      <c r="AD10" s="146">
        <f t="shared" si="9"/>
        <v>385125</v>
      </c>
      <c r="AE10" s="146">
        <f t="shared" si="10"/>
        <v>1063.5</v>
      </c>
      <c r="AF10" s="144">
        <v>392</v>
      </c>
      <c r="AG10" s="146">
        <f t="shared" si="11"/>
        <v>416892</v>
      </c>
    </row>
    <row r="11" spans="2:33" ht="12.75">
      <c r="B11" s="144" t="s">
        <v>199</v>
      </c>
      <c r="C11" s="147">
        <v>2691</v>
      </c>
      <c r="D11" s="147">
        <v>68</v>
      </c>
      <c r="E11" s="146">
        <f t="shared" si="0"/>
        <v>182988</v>
      </c>
      <c r="F11" s="147">
        <v>2027</v>
      </c>
      <c r="G11" s="147">
        <v>69</v>
      </c>
      <c r="H11" s="146">
        <f t="shared" si="1"/>
        <v>139863</v>
      </c>
      <c r="I11" s="148">
        <f t="shared" si="2"/>
        <v>2359</v>
      </c>
      <c r="J11" s="145">
        <v>100</v>
      </c>
      <c r="K11" s="146">
        <f t="shared" si="3"/>
        <v>235900</v>
      </c>
      <c r="M11" s="144" t="s">
        <v>199</v>
      </c>
      <c r="N11" s="147">
        <v>86</v>
      </c>
      <c r="O11" s="147">
        <v>361</v>
      </c>
      <c r="P11" s="146">
        <f t="shared" si="4"/>
        <v>31046</v>
      </c>
      <c r="Q11" s="147">
        <v>86</v>
      </c>
      <c r="R11" s="147">
        <f>33024/Q11</f>
        <v>384</v>
      </c>
      <c r="S11" s="146">
        <f t="shared" si="5"/>
        <v>33024</v>
      </c>
      <c r="T11" s="146">
        <f t="shared" si="6"/>
        <v>86</v>
      </c>
      <c r="U11" s="147">
        <v>521</v>
      </c>
      <c r="V11" s="146">
        <f t="shared" si="7"/>
        <v>44806</v>
      </c>
      <c r="X11" s="144" t="s">
        <v>199</v>
      </c>
      <c r="Y11" s="144">
        <v>1000</v>
      </c>
      <c r="Z11" s="144">
        <v>295</v>
      </c>
      <c r="AA11" s="146">
        <f t="shared" si="8"/>
        <v>295000</v>
      </c>
      <c r="AB11" s="144">
        <v>1399</v>
      </c>
      <c r="AC11" s="144">
        <v>375</v>
      </c>
      <c r="AD11" s="146">
        <f t="shared" si="9"/>
        <v>524625</v>
      </c>
      <c r="AE11" s="146">
        <f t="shared" si="10"/>
        <v>1199.5</v>
      </c>
      <c r="AF11" s="144">
        <v>392</v>
      </c>
      <c r="AG11" s="146">
        <f t="shared" si="11"/>
        <v>470204</v>
      </c>
    </row>
    <row r="12" spans="2:33" ht="12.75">
      <c r="B12" s="144" t="s">
        <v>200</v>
      </c>
      <c r="C12" s="147">
        <v>1729</v>
      </c>
      <c r="D12" s="147">
        <v>66</v>
      </c>
      <c r="E12" s="146">
        <f t="shared" si="0"/>
        <v>114114</v>
      </c>
      <c r="F12" s="147">
        <v>2752</v>
      </c>
      <c r="G12" s="147">
        <v>68</v>
      </c>
      <c r="H12" s="146">
        <f t="shared" si="1"/>
        <v>187136</v>
      </c>
      <c r="I12" s="148">
        <f t="shared" si="2"/>
        <v>2240.5</v>
      </c>
      <c r="J12" s="145">
        <v>100</v>
      </c>
      <c r="K12" s="146">
        <f t="shared" si="3"/>
        <v>224050</v>
      </c>
      <c r="M12" s="144" t="s">
        <v>200</v>
      </c>
      <c r="N12" s="147">
        <v>29</v>
      </c>
      <c r="O12" s="147">
        <v>361</v>
      </c>
      <c r="P12" s="146">
        <f t="shared" si="4"/>
        <v>10469</v>
      </c>
      <c r="Q12" s="147">
        <v>67</v>
      </c>
      <c r="R12" s="147">
        <v>396</v>
      </c>
      <c r="S12" s="146">
        <f t="shared" si="5"/>
        <v>26532</v>
      </c>
      <c r="T12" s="146">
        <f t="shared" si="6"/>
        <v>48</v>
      </c>
      <c r="U12" s="147">
        <v>521</v>
      </c>
      <c r="V12" s="146">
        <f t="shared" si="7"/>
        <v>25008</v>
      </c>
      <c r="X12" s="144" t="s">
        <v>200</v>
      </c>
      <c r="Y12" s="144">
        <v>1295</v>
      </c>
      <c r="Z12" s="144">
        <v>295</v>
      </c>
      <c r="AA12" s="146">
        <f t="shared" si="8"/>
        <v>382025</v>
      </c>
      <c r="AB12" s="144">
        <v>1550</v>
      </c>
      <c r="AC12" s="144">
        <v>375</v>
      </c>
      <c r="AD12" s="146">
        <f t="shared" si="9"/>
        <v>581250</v>
      </c>
      <c r="AE12" s="146">
        <f t="shared" si="10"/>
        <v>1422.5</v>
      </c>
      <c r="AF12" s="144">
        <v>392</v>
      </c>
      <c r="AG12" s="146">
        <f t="shared" si="11"/>
        <v>557620</v>
      </c>
    </row>
    <row r="13" spans="2:33" ht="12.75">
      <c r="B13" s="144" t="s">
        <v>201</v>
      </c>
      <c r="C13" s="147">
        <v>2067</v>
      </c>
      <c r="D13" s="147">
        <v>67</v>
      </c>
      <c r="E13" s="146">
        <f t="shared" si="0"/>
        <v>138489</v>
      </c>
      <c r="F13" s="145"/>
      <c r="G13" s="145"/>
      <c r="H13" s="144">
        <f t="shared" si="1"/>
        <v>0</v>
      </c>
      <c r="I13" s="147">
        <v>2100</v>
      </c>
      <c r="J13" s="145">
        <v>100</v>
      </c>
      <c r="K13" s="146">
        <f t="shared" si="3"/>
        <v>210000</v>
      </c>
      <c r="M13" s="144" t="s">
        <v>201</v>
      </c>
      <c r="N13" s="147">
        <v>38</v>
      </c>
      <c r="O13" s="147">
        <v>368</v>
      </c>
      <c r="P13" s="146">
        <f t="shared" si="4"/>
        <v>13984</v>
      </c>
      <c r="Q13" s="146"/>
      <c r="R13" s="146"/>
      <c r="S13" s="146">
        <f t="shared" si="5"/>
        <v>0</v>
      </c>
      <c r="T13" s="146">
        <v>40</v>
      </c>
      <c r="U13" s="147">
        <v>521</v>
      </c>
      <c r="V13" s="146">
        <f t="shared" si="7"/>
        <v>20840</v>
      </c>
      <c r="X13" s="144" t="s">
        <v>201</v>
      </c>
      <c r="Y13" s="144">
        <v>1300</v>
      </c>
      <c r="Z13" s="144">
        <v>295</v>
      </c>
      <c r="AA13" s="146">
        <f t="shared" si="8"/>
        <v>383500</v>
      </c>
      <c r="AB13" s="144">
        <v>1375</v>
      </c>
      <c r="AC13" s="144">
        <v>375</v>
      </c>
      <c r="AD13" s="146">
        <f t="shared" si="9"/>
        <v>515625</v>
      </c>
      <c r="AE13" s="146">
        <f t="shared" si="10"/>
        <v>1337.5</v>
      </c>
      <c r="AF13" s="144">
        <v>392</v>
      </c>
      <c r="AG13" s="146">
        <f t="shared" si="11"/>
        <v>524300</v>
      </c>
    </row>
    <row r="14" spans="2:33" ht="12.75">
      <c r="B14" s="144" t="s">
        <v>202</v>
      </c>
      <c r="C14" s="147">
        <v>2199</v>
      </c>
      <c r="D14" s="147">
        <f>153930/2199</f>
        <v>70</v>
      </c>
      <c r="E14" s="146">
        <f t="shared" si="0"/>
        <v>153930</v>
      </c>
      <c r="F14" s="145"/>
      <c r="G14" s="145"/>
      <c r="H14" s="144">
        <f t="shared" si="1"/>
        <v>0</v>
      </c>
      <c r="I14" s="147">
        <v>2200</v>
      </c>
      <c r="J14" s="145">
        <v>100</v>
      </c>
      <c r="K14" s="146">
        <f t="shared" si="3"/>
        <v>220000</v>
      </c>
      <c r="M14" s="144" t="s">
        <v>202</v>
      </c>
      <c r="N14" s="147">
        <v>48</v>
      </c>
      <c r="O14" s="147">
        <v>375</v>
      </c>
      <c r="P14" s="146">
        <f t="shared" si="4"/>
        <v>18000</v>
      </c>
      <c r="Q14" s="146"/>
      <c r="R14" s="146"/>
      <c r="S14" s="146">
        <f t="shared" si="5"/>
        <v>0</v>
      </c>
      <c r="T14" s="146">
        <v>50</v>
      </c>
      <c r="U14" s="147">
        <v>521</v>
      </c>
      <c r="V14" s="146">
        <f t="shared" si="7"/>
        <v>26050</v>
      </c>
      <c r="X14" s="144" t="s">
        <v>202</v>
      </c>
      <c r="Y14" s="144">
        <v>1100</v>
      </c>
      <c r="Z14" s="144">
        <v>295</v>
      </c>
      <c r="AA14" s="146">
        <f t="shared" si="8"/>
        <v>324500</v>
      </c>
      <c r="AB14" s="144"/>
      <c r="AC14" s="144">
        <v>375</v>
      </c>
      <c r="AD14" s="146">
        <f t="shared" si="9"/>
        <v>0</v>
      </c>
      <c r="AE14" s="144">
        <v>1200</v>
      </c>
      <c r="AF14" s="144">
        <v>392</v>
      </c>
      <c r="AG14" s="146">
        <f t="shared" si="11"/>
        <v>470400</v>
      </c>
    </row>
    <row r="15" spans="2:33" ht="12.75">
      <c r="B15" s="144" t="s">
        <v>203</v>
      </c>
      <c r="C15" s="147">
        <v>1996</v>
      </c>
      <c r="D15" s="147">
        <v>74</v>
      </c>
      <c r="E15" s="146">
        <f t="shared" si="0"/>
        <v>147704</v>
      </c>
      <c r="F15" s="145"/>
      <c r="G15" s="145"/>
      <c r="H15" s="144">
        <f t="shared" si="1"/>
        <v>0</v>
      </c>
      <c r="I15" s="147">
        <v>2000</v>
      </c>
      <c r="J15" s="145">
        <v>100</v>
      </c>
      <c r="K15" s="146">
        <f t="shared" si="3"/>
        <v>200000</v>
      </c>
      <c r="M15" s="144" t="s">
        <v>203</v>
      </c>
      <c r="N15" s="147">
        <v>65</v>
      </c>
      <c r="O15" s="147">
        <v>372</v>
      </c>
      <c r="P15" s="146">
        <f t="shared" si="4"/>
        <v>24180</v>
      </c>
      <c r="Q15" s="146"/>
      <c r="R15" s="146"/>
      <c r="S15" s="146">
        <f t="shared" si="5"/>
        <v>0</v>
      </c>
      <c r="T15" s="146">
        <v>70</v>
      </c>
      <c r="U15" s="147">
        <v>521</v>
      </c>
      <c r="V15" s="146">
        <f t="shared" si="7"/>
        <v>36470</v>
      </c>
      <c r="X15" s="144" t="s">
        <v>203</v>
      </c>
      <c r="Y15" s="144">
        <v>1200</v>
      </c>
      <c r="Z15" s="144">
        <v>295</v>
      </c>
      <c r="AA15" s="146">
        <f t="shared" si="8"/>
        <v>354000</v>
      </c>
      <c r="AB15" s="146"/>
      <c r="AC15" s="144">
        <v>375</v>
      </c>
      <c r="AD15" s="146">
        <f t="shared" si="9"/>
        <v>0</v>
      </c>
      <c r="AE15" s="144">
        <v>1200</v>
      </c>
      <c r="AF15" s="144">
        <v>392</v>
      </c>
      <c r="AG15" s="146">
        <f t="shared" si="11"/>
        <v>470400</v>
      </c>
    </row>
    <row r="16" spans="2:33" ht="12.75">
      <c r="B16" s="144" t="s">
        <v>204</v>
      </c>
      <c r="C16" s="147">
        <v>1480</v>
      </c>
      <c r="D16" s="147">
        <v>73</v>
      </c>
      <c r="E16" s="146">
        <v>59925</v>
      </c>
      <c r="F16" s="145"/>
      <c r="G16" s="145"/>
      <c r="H16" s="144">
        <f t="shared" si="1"/>
        <v>0</v>
      </c>
      <c r="I16" s="147">
        <v>1500</v>
      </c>
      <c r="J16" s="145">
        <v>100</v>
      </c>
      <c r="K16" s="146">
        <f t="shared" si="3"/>
        <v>150000</v>
      </c>
      <c r="M16" s="144" t="s">
        <v>204</v>
      </c>
      <c r="N16" s="147">
        <v>59</v>
      </c>
      <c r="O16" s="147">
        <v>372</v>
      </c>
      <c r="P16" s="146">
        <f t="shared" si="4"/>
        <v>21948</v>
      </c>
      <c r="Q16" s="146"/>
      <c r="R16" s="146"/>
      <c r="S16" s="146">
        <f t="shared" si="5"/>
        <v>0</v>
      </c>
      <c r="T16" s="146">
        <v>60</v>
      </c>
      <c r="U16" s="147">
        <v>521</v>
      </c>
      <c r="V16" s="146">
        <f t="shared" si="7"/>
        <v>31260</v>
      </c>
      <c r="X16" s="144" t="s">
        <v>204</v>
      </c>
      <c r="Y16" s="144">
        <v>1100</v>
      </c>
      <c r="Z16" s="144">
        <v>295</v>
      </c>
      <c r="AA16" s="146">
        <f t="shared" si="8"/>
        <v>324500</v>
      </c>
      <c r="AB16" s="146"/>
      <c r="AC16" s="144">
        <v>375</v>
      </c>
      <c r="AD16" s="146">
        <f t="shared" si="9"/>
        <v>0</v>
      </c>
      <c r="AE16" s="144">
        <v>1200</v>
      </c>
      <c r="AF16" s="144">
        <v>392</v>
      </c>
      <c r="AG16" s="146">
        <f t="shared" si="11"/>
        <v>470400</v>
      </c>
    </row>
    <row r="17" spans="2:33" ht="12.75">
      <c r="B17" s="144" t="s">
        <v>205</v>
      </c>
      <c r="C17" s="147">
        <v>1276</v>
      </c>
      <c r="D17" s="147">
        <f>100804/C17</f>
        <v>79</v>
      </c>
      <c r="E17" s="146">
        <f t="shared" si="0"/>
        <v>100804</v>
      </c>
      <c r="F17" s="145"/>
      <c r="G17" s="145"/>
      <c r="H17" s="144">
        <f t="shared" si="1"/>
        <v>0</v>
      </c>
      <c r="I17" s="148">
        <v>1300</v>
      </c>
      <c r="J17" s="145">
        <v>100</v>
      </c>
      <c r="K17" s="146">
        <f t="shared" si="3"/>
        <v>130000</v>
      </c>
      <c r="M17" s="144" t="s">
        <v>205</v>
      </c>
      <c r="N17" s="147">
        <v>91</v>
      </c>
      <c r="O17" s="147">
        <f>33943/N17</f>
        <v>373</v>
      </c>
      <c r="P17" s="146">
        <f t="shared" si="4"/>
        <v>33943</v>
      </c>
      <c r="Q17" s="146"/>
      <c r="R17" s="146"/>
      <c r="S17" s="146">
        <f t="shared" si="5"/>
        <v>0</v>
      </c>
      <c r="T17" s="146">
        <v>90</v>
      </c>
      <c r="U17" s="147">
        <v>521</v>
      </c>
      <c r="V17" s="146">
        <f t="shared" si="7"/>
        <v>46890</v>
      </c>
      <c r="X17" s="144" t="s">
        <v>205</v>
      </c>
      <c r="Y17" s="144">
        <v>12560</v>
      </c>
      <c r="Z17" s="144">
        <v>295</v>
      </c>
      <c r="AA17" s="146">
        <f t="shared" si="8"/>
        <v>3705200</v>
      </c>
      <c r="AB17" s="146"/>
      <c r="AC17" s="144">
        <v>375</v>
      </c>
      <c r="AD17" s="146">
        <f t="shared" si="9"/>
        <v>0</v>
      </c>
      <c r="AE17" s="144">
        <v>1200</v>
      </c>
      <c r="AF17" s="144">
        <v>392</v>
      </c>
      <c r="AG17" s="146">
        <f t="shared" si="11"/>
        <v>470400</v>
      </c>
    </row>
    <row r="18" spans="2:33" ht="12.75">
      <c r="B18" s="149" t="s">
        <v>206</v>
      </c>
      <c r="C18" s="150">
        <f>SUM(C6:C17)</f>
        <v>19779</v>
      </c>
      <c r="D18" s="142"/>
      <c r="E18" s="150">
        <f>SUM(E6:E17)</f>
        <v>1343085</v>
      </c>
      <c r="F18" s="150">
        <f>SUM(F6:F17)</f>
        <v>13672</v>
      </c>
      <c r="G18" s="142"/>
      <c r="H18" s="150">
        <f>SUM(H6:H17)</f>
        <v>1002667</v>
      </c>
      <c r="I18" s="150">
        <f>SUM(I6:I17)</f>
        <v>21316.5</v>
      </c>
      <c r="J18" s="142"/>
      <c r="K18" s="150">
        <f>SUM(K6:K17)</f>
        <v>2131650</v>
      </c>
      <c r="M18" s="142" t="s">
        <v>206</v>
      </c>
      <c r="N18" s="151">
        <f>SUM(N6:N17)</f>
        <v>593</v>
      </c>
      <c r="O18" s="150"/>
      <c r="P18" s="150">
        <f>SUM(P6:P17)</f>
        <v>218656</v>
      </c>
      <c r="Q18" s="150">
        <f>SUM(Q6:Q17)</f>
        <v>633</v>
      </c>
      <c r="R18" s="150"/>
      <c r="S18" s="150">
        <f>SUM(S6:S17)</f>
        <v>249221</v>
      </c>
      <c r="T18" s="150">
        <f>SUM(T6:T17)</f>
        <v>772.5</v>
      </c>
      <c r="U18" s="150"/>
      <c r="V18" s="150">
        <f>SUM(V6:V17)</f>
        <v>402472.5</v>
      </c>
      <c r="X18" s="142" t="s">
        <v>206</v>
      </c>
      <c r="Y18" s="150">
        <f>SUM(Y6:Y17)</f>
        <v>23155</v>
      </c>
      <c r="Z18" s="142"/>
      <c r="AA18" s="150">
        <f>SUM(AA6:AA17)</f>
        <v>6843625</v>
      </c>
      <c r="AB18" s="150">
        <f>SUM(AB6:AB17)</f>
        <v>7091</v>
      </c>
      <c r="AC18" s="150"/>
      <c r="AD18" s="150">
        <f>SUM(AD6:AD17)</f>
        <v>2618910</v>
      </c>
      <c r="AE18" s="150">
        <f>SUM(AE6:AE17)</f>
        <v>11943</v>
      </c>
      <c r="AF18" s="142"/>
      <c r="AG18" s="150">
        <f>SUM(AG6:AG17)</f>
        <v>4632649.5</v>
      </c>
    </row>
    <row r="19" spans="5:33" ht="12.75">
      <c r="E19" s="149" t="s">
        <v>207</v>
      </c>
      <c r="F19" s="146">
        <f>+F6+F7+F8+F17</f>
        <v>4772</v>
      </c>
      <c r="H19" s="149" t="s">
        <v>207</v>
      </c>
      <c r="I19" s="146">
        <f>+I6+I7+I8+I17</f>
        <v>5263.5</v>
      </c>
      <c r="K19" s="146">
        <f>+K6+K7+K8+K17</f>
        <v>526350</v>
      </c>
      <c r="P19" s="149" t="s">
        <v>207</v>
      </c>
      <c r="Q19" s="146">
        <f>+Q6+Q7+Q8+Q17</f>
        <v>299</v>
      </c>
      <c r="S19" s="149" t="s">
        <v>207</v>
      </c>
      <c r="T19" s="146">
        <f>+T6+T7+T8+T17</f>
        <v>299.5</v>
      </c>
      <c r="V19" s="146">
        <f>+V6+V7+V8+V17</f>
        <v>156039.5</v>
      </c>
      <c r="AA19" s="149" t="s">
        <v>207</v>
      </c>
      <c r="AB19" s="146">
        <f>+AB6+AB7+AB8+AB17</f>
        <v>1149</v>
      </c>
      <c r="AD19" s="149" t="s">
        <v>207</v>
      </c>
      <c r="AE19" s="146">
        <f>+AE6+AE7+AE8+AE17</f>
        <v>2524.5</v>
      </c>
      <c r="AG19" s="146">
        <f>+AG6+AG7+AG8+AG17</f>
        <v>940597.5</v>
      </c>
    </row>
    <row r="20" spans="3:33" ht="12.75">
      <c r="C20" s="152">
        <f>SUM(C13:C17)</f>
        <v>9018</v>
      </c>
      <c r="E20" s="149" t="s">
        <v>208</v>
      </c>
      <c r="F20" s="146">
        <f>SUM(F9:F16)</f>
        <v>8900</v>
      </c>
      <c r="H20" s="149" t="s">
        <v>208</v>
      </c>
      <c r="I20" s="146">
        <f>SUM(I9:I16)</f>
        <v>16053</v>
      </c>
      <c r="K20" s="146">
        <f>SUM(K9:K16)</f>
        <v>1605300</v>
      </c>
      <c r="P20" s="149" t="s">
        <v>208</v>
      </c>
      <c r="Q20" s="146">
        <f>SUM(Q9:Q16)</f>
        <v>334</v>
      </c>
      <c r="S20" s="149" t="s">
        <v>208</v>
      </c>
      <c r="T20" s="146">
        <f>SUM(T9:T16)</f>
        <v>473</v>
      </c>
      <c r="V20" s="146">
        <f>SUM(V9:V16)</f>
        <v>246433</v>
      </c>
      <c r="AA20" s="149" t="s">
        <v>208</v>
      </c>
      <c r="AB20" s="146">
        <f>SUM(AB9:AB16)</f>
        <v>5942</v>
      </c>
      <c r="AD20" s="149" t="s">
        <v>208</v>
      </c>
      <c r="AE20" s="146">
        <f>SUM(AE9:AE16)</f>
        <v>9418.5</v>
      </c>
      <c r="AG20" s="146">
        <f>SUM(AG9:AG16)</f>
        <v>3692052</v>
      </c>
    </row>
    <row r="21" spans="3:33" ht="12.75">
      <c r="C21">
        <f>+C20/5</f>
        <v>1803.6</v>
      </c>
      <c r="E21" s="142" t="s">
        <v>209</v>
      </c>
      <c r="F21" s="150">
        <f>+F19+F20</f>
        <v>13672</v>
      </c>
      <c r="H21" s="142" t="s">
        <v>209</v>
      </c>
      <c r="I21" s="150">
        <f>+I19+I20</f>
        <v>21316.5</v>
      </c>
      <c r="K21" s="150">
        <f>+K19+K20</f>
        <v>2131650</v>
      </c>
      <c r="P21" s="142" t="s">
        <v>209</v>
      </c>
      <c r="Q21" s="150">
        <f>+Q19+Q20</f>
        <v>633</v>
      </c>
      <c r="S21" s="142" t="s">
        <v>209</v>
      </c>
      <c r="T21" s="150">
        <f>+T19+T20</f>
        <v>772.5</v>
      </c>
      <c r="V21" s="150">
        <f>+V19+V20</f>
        <v>402472.5</v>
      </c>
      <c r="AA21" s="142" t="s">
        <v>209</v>
      </c>
      <c r="AB21" s="150">
        <f>+AB19+AB20</f>
        <v>7091</v>
      </c>
      <c r="AD21" s="142" t="s">
        <v>209</v>
      </c>
      <c r="AE21" s="150">
        <f>+AE19+AE20</f>
        <v>11943</v>
      </c>
      <c r="AG21" s="150">
        <f>+AG19+AG20</f>
        <v>4632649.5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3:AC45"/>
  <sheetViews>
    <sheetView showGridLines="0" zoomScale="70" zoomScaleNormal="70" zoomScalePageLayoutView="0" workbookViewId="0" topLeftCell="A1">
      <selection activeCell="B5" sqref="B5"/>
    </sheetView>
  </sheetViews>
  <sheetFormatPr defaultColWidth="11.421875" defaultRowHeight="12.75"/>
  <cols>
    <col min="1" max="1" width="1.57421875" style="173" customWidth="1"/>
    <col min="2" max="2" width="13.421875" style="173" customWidth="1"/>
    <col min="3" max="3" width="10.7109375" style="173" customWidth="1"/>
    <col min="4" max="4" width="9.57421875" style="173" customWidth="1"/>
    <col min="5" max="5" width="12.7109375" style="173" customWidth="1"/>
    <col min="6" max="6" width="9.421875" style="173" customWidth="1"/>
    <col min="7" max="7" width="11.421875" style="173" customWidth="1"/>
    <col min="8" max="8" width="15.00390625" style="173" customWidth="1"/>
    <col min="9" max="9" width="10.28125" style="173" customWidth="1"/>
    <col min="10" max="10" width="8.7109375" style="173" customWidth="1"/>
    <col min="11" max="11" width="13.421875" style="173" customWidth="1"/>
    <col min="12" max="12" width="12.00390625" style="173" customWidth="1"/>
    <col min="13" max="13" width="8.00390625" style="173" customWidth="1"/>
    <col min="14" max="14" width="13.421875" style="173" customWidth="1"/>
    <col min="15" max="15" width="4.28125" style="173" customWidth="1"/>
    <col min="16" max="16" width="2.00390625" style="173" customWidth="1"/>
    <col min="17" max="17" width="14.00390625" style="173" customWidth="1"/>
    <col min="18" max="18" width="10.421875" style="173" customWidth="1"/>
    <col min="19" max="19" width="8.57421875" style="173" customWidth="1"/>
    <col min="20" max="20" width="14.28125" style="173" customWidth="1"/>
    <col min="21" max="21" width="9.140625" style="173" customWidth="1"/>
    <col min="22" max="22" width="13.140625" style="173" customWidth="1"/>
    <col min="23" max="23" width="14.28125" style="173" customWidth="1"/>
    <col min="24" max="24" width="10.00390625" style="173" customWidth="1"/>
    <col min="25" max="25" width="10.57421875" style="173" customWidth="1"/>
    <col min="26" max="26" width="15.28125" style="173" customWidth="1"/>
    <col min="27" max="27" width="11.8515625" style="173" customWidth="1"/>
    <col min="28" max="28" width="11.7109375" style="173" customWidth="1"/>
    <col min="29" max="30" width="13.421875" style="173" customWidth="1"/>
    <col min="31" max="31" width="2.140625" style="173" customWidth="1"/>
    <col min="32" max="32" width="12.7109375" style="173" customWidth="1"/>
    <col min="33" max="33" width="10.140625" style="173" customWidth="1"/>
    <col min="34" max="34" width="8.8515625" style="173" customWidth="1"/>
    <col min="35" max="37" width="12.421875" style="173" customWidth="1"/>
    <col min="38" max="38" width="14.8515625" style="173" customWidth="1"/>
    <col min="39" max="39" width="11.8515625" style="173" customWidth="1"/>
    <col min="40" max="40" width="9.28125" style="173" customWidth="1"/>
    <col min="41" max="41" width="14.28125" style="173" customWidth="1"/>
    <col min="42" max="42" width="11.8515625" style="173" customWidth="1"/>
    <col min="43" max="43" width="9.28125" style="173" customWidth="1"/>
    <col min="44" max="44" width="14.28125" style="173" customWidth="1"/>
    <col min="45" max="16384" width="11.421875" style="173" customWidth="1"/>
  </cols>
  <sheetData>
    <row r="3" spans="2:17" ht="15">
      <c r="B3" s="172" t="s">
        <v>182</v>
      </c>
      <c r="Q3" s="172" t="s">
        <v>184</v>
      </c>
    </row>
    <row r="4" spans="2:20" ht="12.75">
      <c r="B4" s="174"/>
      <c r="C4" s="174"/>
      <c r="D4" s="174"/>
      <c r="E4" s="174"/>
      <c r="Q4" s="174"/>
      <c r="R4" s="174"/>
      <c r="S4" s="174"/>
      <c r="T4" s="174"/>
    </row>
    <row r="5" spans="2:29" ht="12.75">
      <c r="B5" s="203" t="s">
        <v>211</v>
      </c>
      <c r="C5" s="175"/>
      <c r="D5" s="176" t="s">
        <v>214</v>
      </c>
      <c r="E5" s="177"/>
      <c r="F5" s="178"/>
      <c r="G5" s="179" t="s">
        <v>218</v>
      </c>
      <c r="H5" s="180"/>
      <c r="I5" s="181"/>
      <c r="J5" s="182" t="s">
        <v>219</v>
      </c>
      <c r="K5" s="183"/>
      <c r="L5" s="181"/>
      <c r="M5" s="182" t="s">
        <v>220</v>
      </c>
      <c r="N5" s="183"/>
      <c r="Q5" s="203" t="s">
        <v>211</v>
      </c>
      <c r="R5" s="175"/>
      <c r="S5" s="176" t="s">
        <v>214</v>
      </c>
      <c r="T5" s="177"/>
      <c r="U5" s="178"/>
      <c r="V5" s="179" t="s">
        <v>215</v>
      </c>
      <c r="W5" s="180"/>
      <c r="X5" s="181"/>
      <c r="Y5" s="182" t="s">
        <v>219</v>
      </c>
      <c r="Z5" s="183"/>
      <c r="AA5" s="181"/>
      <c r="AB5" s="182" t="s">
        <v>220</v>
      </c>
      <c r="AC5" s="183"/>
    </row>
    <row r="6" spans="2:29" ht="12.75">
      <c r="B6" s="204" t="s">
        <v>212</v>
      </c>
      <c r="C6" s="184" t="s">
        <v>189</v>
      </c>
      <c r="D6" s="184" t="s">
        <v>190</v>
      </c>
      <c r="E6" s="184" t="s">
        <v>191</v>
      </c>
      <c r="F6" s="184" t="s">
        <v>189</v>
      </c>
      <c r="G6" s="184" t="s">
        <v>190</v>
      </c>
      <c r="H6" s="184" t="s">
        <v>191</v>
      </c>
      <c r="I6" s="185" t="s">
        <v>189</v>
      </c>
      <c r="J6" s="185" t="s">
        <v>190</v>
      </c>
      <c r="K6" s="185" t="s">
        <v>191</v>
      </c>
      <c r="L6" s="185" t="s">
        <v>189</v>
      </c>
      <c r="M6" s="185" t="s">
        <v>190</v>
      </c>
      <c r="N6" s="185" t="s">
        <v>191</v>
      </c>
      <c r="Q6" s="204" t="s">
        <v>213</v>
      </c>
      <c r="R6" s="184" t="s">
        <v>192</v>
      </c>
      <c r="S6" s="184" t="s">
        <v>190</v>
      </c>
      <c r="T6" s="184" t="s">
        <v>191</v>
      </c>
      <c r="U6" s="184" t="s">
        <v>192</v>
      </c>
      <c r="V6" s="184" t="s">
        <v>190</v>
      </c>
      <c r="W6" s="184" t="s">
        <v>191</v>
      </c>
      <c r="X6" s="185" t="s">
        <v>192</v>
      </c>
      <c r="Y6" s="185" t="s">
        <v>190</v>
      </c>
      <c r="Z6" s="185" t="s">
        <v>191</v>
      </c>
      <c r="AA6" s="185" t="s">
        <v>192</v>
      </c>
      <c r="AB6" s="185" t="s">
        <v>190</v>
      </c>
      <c r="AC6" s="185" t="s">
        <v>191</v>
      </c>
    </row>
    <row r="7" spans="2:29" ht="12.75">
      <c r="B7" s="186" t="s">
        <v>194</v>
      </c>
      <c r="C7" s="190">
        <v>1928</v>
      </c>
      <c r="D7" s="187">
        <v>91</v>
      </c>
      <c r="E7" s="186">
        <f>+C7*D7</f>
        <v>175448</v>
      </c>
      <c r="F7" s="190">
        <v>1253</v>
      </c>
      <c r="G7" s="187">
        <v>133</v>
      </c>
      <c r="H7" s="188">
        <f>+F7*G7</f>
        <v>166649</v>
      </c>
      <c r="I7" s="191">
        <f>+((C7+F7)/2)*0.75</f>
        <v>1192.875</v>
      </c>
      <c r="J7" s="192">
        <v>122</v>
      </c>
      <c r="K7" s="193">
        <f>+I7*J7</f>
        <v>145530.75</v>
      </c>
      <c r="L7" s="191">
        <f>+((C7+F7)/2)*0.25</f>
        <v>397.625</v>
      </c>
      <c r="M7" s="192">
        <v>122</v>
      </c>
      <c r="N7" s="193">
        <f>+L7*M7</f>
        <v>48510.25</v>
      </c>
      <c r="Q7" s="186" t="s">
        <v>194</v>
      </c>
      <c r="R7" s="190">
        <v>489</v>
      </c>
      <c r="S7" s="187">
        <v>371</v>
      </c>
      <c r="T7" s="186">
        <f>+R7*S7</f>
        <v>181419</v>
      </c>
      <c r="U7" s="190">
        <v>120</v>
      </c>
      <c r="V7" s="187">
        <v>432</v>
      </c>
      <c r="W7" s="188">
        <f>+U7*V7</f>
        <v>51840</v>
      </c>
      <c r="X7" s="191">
        <f>+((R7+U7)/2)*0.75</f>
        <v>228.375</v>
      </c>
      <c r="Y7" s="192">
        <v>442</v>
      </c>
      <c r="Z7" s="193">
        <f>+X7*Y7</f>
        <v>100941.75</v>
      </c>
      <c r="AA7" s="191">
        <f>+((R7+U7)/2)*0.25</f>
        <v>76.125</v>
      </c>
      <c r="AB7" s="192">
        <v>442</v>
      </c>
      <c r="AC7" s="193">
        <f>+AA7*AB7</f>
        <v>33647.25</v>
      </c>
    </row>
    <row r="8" spans="2:29" ht="12.75">
      <c r="B8" s="186" t="s">
        <v>195</v>
      </c>
      <c r="C8" s="190">
        <v>1114</v>
      </c>
      <c r="D8" s="187">
        <v>91</v>
      </c>
      <c r="E8" s="186">
        <f aca="true" t="shared" si="0" ref="E8:E18">+C8*D8</f>
        <v>101374</v>
      </c>
      <c r="F8" s="190">
        <v>2746</v>
      </c>
      <c r="G8" s="187">
        <v>114</v>
      </c>
      <c r="H8" s="188">
        <f aca="true" t="shared" si="1" ref="H8:H18">+F8*G8</f>
        <v>313044</v>
      </c>
      <c r="I8" s="191">
        <f aca="true" t="shared" si="2" ref="I8:I18">+((C8+F8)/2)*0.75</f>
        <v>1447.5</v>
      </c>
      <c r="J8" s="192">
        <v>122</v>
      </c>
      <c r="K8" s="193">
        <f aca="true" t="shared" si="3" ref="K8:K18">+I8*J8</f>
        <v>176595</v>
      </c>
      <c r="L8" s="191">
        <f aca="true" t="shared" si="4" ref="L8:L18">+((C8+F8)/2)*0.25</f>
        <v>482.5</v>
      </c>
      <c r="M8" s="192">
        <v>122</v>
      </c>
      <c r="N8" s="193">
        <f aca="true" t="shared" si="5" ref="N8:N18">+L8*M8</f>
        <v>58865</v>
      </c>
      <c r="Q8" s="186" t="s">
        <v>195</v>
      </c>
      <c r="R8" s="190">
        <v>375</v>
      </c>
      <c r="S8" s="187">
        <v>341</v>
      </c>
      <c r="T8" s="186">
        <f aca="true" t="shared" si="6" ref="T8:T18">+R8*S8</f>
        <v>127875</v>
      </c>
      <c r="U8" s="190">
        <v>168</v>
      </c>
      <c r="V8" s="187">
        <v>395</v>
      </c>
      <c r="W8" s="188">
        <f aca="true" t="shared" si="7" ref="W8:W18">+U8*V8</f>
        <v>66360</v>
      </c>
      <c r="X8" s="191">
        <f aca="true" t="shared" si="8" ref="X8:X18">+((R8+U8)/2)*0.75</f>
        <v>203.625</v>
      </c>
      <c r="Y8" s="192">
        <v>442</v>
      </c>
      <c r="Z8" s="193">
        <f aca="true" t="shared" si="9" ref="Z8:Z18">+X8*Y8</f>
        <v>90002.25</v>
      </c>
      <c r="AA8" s="191">
        <f aca="true" t="shared" si="10" ref="AA8:AA18">+((R8+U8)/2)*0.25</f>
        <v>67.875</v>
      </c>
      <c r="AB8" s="192">
        <v>442</v>
      </c>
      <c r="AC8" s="193">
        <f aca="true" t="shared" si="11" ref="AC8:AC18">+AA8*AB8</f>
        <v>30000.75</v>
      </c>
    </row>
    <row r="9" spans="2:29" ht="12.75">
      <c r="B9" s="186" t="s">
        <v>196</v>
      </c>
      <c r="C9" s="190">
        <v>1397</v>
      </c>
      <c r="D9" s="187">
        <v>106</v>
      </c>
      <c r="E9" s="186">
        <f t="shared" si="0"/>
        <v>148082</v>
      </c>
      <c r="F9" s="190">
        <v>1102</v>
      </c>
      <c r="G9" s="187">
        <v>139</v>
      </c>
      <c r="H9" s="188">
        <f t="shared" si="1"/>
        <v>153178</v>
      </c>
      <c r="I9" s="191">
        <f t="shared" si="2"/>
        <v>937.125</v>
      </c>
      <c r="J9" s="192">
        <v>122</v>
      </c>
      <c r="K9" s="193">
        <f t="shared" si="3"/>
        <v>114329.25</v>
      </c>
      <c r="L9" s="191">
        <f t="shared" si="4"/>
        <v>312.375</v>
      </c>
      <c r="M9" s="192">
        <v>122</v>
      </c>
      <c r="N9" s="193">
        <f t="shared" si="5"/>
        <v>38109.75</v>
      </c>
      <c r="Q9" s="186" t="s">
        <v>196</v>
      </c>
      <c r="R9" s="190">
        <v>326</v>
      </c>
      <c r="S9" s="187">
        <v>381</v>
      </c>
      <c r="T9" s="186">
        <f t="shared" si="6"/>
        <v>124206</v>
      </c>
      <c r="U9" s="190">
        <v>185</v>
      </c>
      <c r="V9" s="187">
        <v>395</v>
      </c>
      <c r="W9" s="188">
        <f t="shared" si="7"/>
        <v>73075</v>
      </c>
      <c r="X9" s="191">
        <f t="shared" si="8"/>
        <v>191.625</v>
      </c>
      <c r="Y9" s="192">
        <v>442</v>
      </c>
      <c r="Z9" s="193">
        <f t="shared" si="9"/>
        <v>84698.25</v>
      </c>
      <c r="AA9" s="191">
        <f t="shared" si="10"/>
        <v>63.875</v>
      </c>
      <c r="AB9" s="192">
        <v>442</v>
      </c>
      <c r="AC9" s="193">
        <f t="shared" si="11"/>
        <v>28232.75</v>
      </c>
    </row>
    <row r="10" spans="2:29" ht="12.75">
      <c r="B10" s="186" t="s">
        <v>197</v>
      </c>
      <c r="C10" s="190">
        <v>1422</v>
      </c>
      <c r="D10" s="187">
        <v>110</v>
      </c>
      <c r="E10" s="186">
        <f t="shared" si="0"/>
        <v>156420</v>
      </c>
      <c r="F10" s="190">
        <v>2550</v>
      </c>
      <c r="G10" s="187">
        <v>103</v>
      </c>
      <c r="H10" s="188">
        <f t="shared" si="1"/>
        <v>262650</v>
      </c>
      <c r="I10" s="191">
        <f t="shared" si="2"/>
        <v>1489.5</v>
      </c>
      <c r="J10" s="192">
        <v>122</v>
      </c>
      <c r="K10" s="193">
        <f t="shared" si="3"/>
        <v>181719</v>
      </c>
      <c r="L10" s="191">
        <f t="shared" si="4"/>
        <v>496.5</v>
      </c>
      <c r="M10" s="192">
        <v>122</v>
      </c>
      <c r="N10" s="193">
        <f t="shared" si="5"/>
        <v>60573</v>
      </c>
      <c r="Q10" s="186" t="s">
        <v>197</v>
      </c>
      <c r="R10" s="190">
        <v>497</v>
      </c>
      <c r="S10" s="187">
        <v>289</v>
      </c>
      <c r="T10" s="186">
        <f t="shared" si="6"/>
        <v>143633</v>
      </c>
      <c r="U10" s="190">
        <v>290</v>
      </c>
      <c r="V10" s="187">
        <v>410</v>
      </c>
      <c r="W10" s="188">
        <f t="shared" si="7"/>
        <v>118900</v>
      </c>
      <c r="X10" s="191">
        <f t="shared" si="8"/>
        <v>295.125</v>
      </c>
      <c r="Y10" s="192">
        <v>442</v>
      </c>
      <c r="Z10" s="193">
        <f t="shared" si="9"/>
        <v>130445.25</v>
      </c>
      <c r="AA10" s="191">
        <f t="shared" si="10"/>
        <v>98.375</v>
      </c>
      <c r="AB10" s="192">
        <v>442</v>
      </c>
      <c r="AC10" s="193">
        <f t="shared" si="11"/>
        <v>43481.75</v>
      </c>
    </row>
    <row r="11" spans="2:29" ht="12.75">
      <c r="B11" s="186" t="s">
        <v>198</v>
      </c>
      <c r="C11" s="190">
        <v>2867</v>
      </c>
      <c r="D11" s="187">
        <v>108</v>
      </c>
      <c r="E11" s="186">
        <f t="shared" si="0"/>
        <v>309636</v>
      </c>
      <c r="F11" s="190">
        <v>1645</v>
      </c>
      <c r="G11" s="187">
        <v>104</v>
      </c>
      <c r="H11" s="188">
        <f t="shared" si="1"/>
        <v>171080</v>
      </c>
      <c r="I11" s="191">
        <f t="shared" si="2"/>
        <v>1692</v>
      </c>
      <c r="J11" s="192">
        <v>122</v>
      </c>
      <c r="K11" s="193">
        <f t="shared" si="3"/>
        <v>206424</v>
      </c>
      <c r="L11" s="191">
        <f t="shared" si="4"/>
        <v>564</v>
      </c>
      <c r="M11" s="192">
        <v>122</v>
      </c>
      <c r="N11" s="193">
        <f t="shared" si="5"/>
        <v>68808</v>
      </c>
      <c r="Q11" s="186" t="s">
        <v>198</v>
      </c>
      <c r="R11" s="190">
        <v>409</v>
      </c>
      <c r="S11" s="187">
        <v>379</v>
      </c>
      <c r="T11" s="186">
        <f t="shared" si="6"/>
        <v>155011</v>
      </c>
      <c r="U11" s="190">
        <v>585</v>
      </c>
      <c r="V11" s="187">
        <v>426</v>
      </c>
      <c r="W11" s="188">
        <f t="shared" si="7"/>
        <v>249210</v>
      </c>
      <c r="X11" s="191">
        <f t="shared" si="8"/>
        <v>372.75</v>
      </c>
      <c r="Y11" s="192">
        <v>442</v>
      </c>
      <c r="Z11" s="193">
        <f t="shared" si="9"/>
        <v>164755.5</v>
      </c>
      <c r="AA11" s="191">
        <f t="shared" si="10"/>
        <v>124.25</v>
      </c>
      <c r="AB11" s="192">
        <v>442</v>
      </c>
      <c r="AC11" s="193">
        <f t="shared" si="11"/>
        <v>54918.5</v>
      </c>
    </row>
    <row r="12" spans="2:29" ht="12.75">
      <c r="B12" s="186" t="s">
        <v>199</v>
      </c>
      <c r="C12" s="190">
        <v>581</v>
      </c>
      <c r="D12" s="187">
        <v>105</v>
      </c>
      <c r="E12" s="186">
        <f t="shared" si="0"/>
        <v>61005</v>
      </c>
      <c r="F12" s="216">
        <v>1894</v>
      </c>
      <c r="G12" s="217">
        <v>106</v>
      </c>
      <c r="H12" s="218">
        <f t="shared" si="1"/>
        <v>200764</v>
      </c>
      <c r="I12" s="191">
        <f t="shared" si="2"/>
        <v>928.125</v>
      </c>
      <c r="J12" s="192">
        <v>122</v>
      </c>
      <c r="K12" s="193">
        <f t="shared" si="3"/>
        <v>113231.25</v>
      </c>
      <c r="L12" s="191">
        <f t="shared" si="4"/>
        <v>309.375</v>
      </c>
      <c r="M12" s="192">
        <v>122</v>
      </c>
      <c r="N12" s="193">
        <f t="shared" si="5"/>
        <v>37743.75</v>
      </c>
      <c r="Q12" s="186" t="s">
        <v>199</v>
      </c>
      <c r="R12" s="190">
        <v>881</v>
      </c>
      <c r="S12" s="187">
        <v>376</v>
      </c>
      <c r="T12" s="186">
        <f t="shared" si="6"/>
        <v>331256</v>
      </c>
      <c r="U12" s="190">
        <v>791</v>
      </c>
      <c r="V12" s="187">
        <v>424</v>
      </c>
      <c r="W12" s="188">
        <f t="shared" si="7"/>
        <v>335384</v>
      </c>
      <c r="X12" s="191">
        <f t="shared" si="8"/>
        <v>627</v>
      </c>
      <c r="Y12" s="192">
        <v>442</v>
      </c>
      <c r="Z12" s="193">
        <f t="shared" si="9"/>
        <v>277134</v>
      </c>
      <c r="AA12" s="191">
        <f t="shared" si="10"/>
        <v>209</v>
      </c>
      <c r="AB12" s="192">
        <v>442</v>
      </c>
      <c r="AC12" s="193">
        <f t="shared" si="11"/>
        <v>92378</v>
      </c>
    </row>
    <row r="13" spans="2:29" ht="12.75">
      <c r="B13" s="186" t="s">
        <v>200</v>
      </c>
      <c r="C13" s="189">
        <v>2752</v>
      </c>
      <c r="D13" s="187">
        <v>105</v>
      </c>
      <c r="E13" s="186">
        <f t="shared" si="0"/>
        <v>288960</v>
      </c>
      <c r="F13" s="219">
        <v>1864</v>
      </c>
      <c r="G13" s="217">
        <v>107</v>
      </c>
      <c r="H13" s="218">
        <f t="shared" si="1"/>
        <v>199448</v>
      </c>
      <c r="I13" s="191">
        <f t="shared" si="2"/>
        <v>1731</v>
      </c>
      <c r="J13" s="192">
        <v>122</v>
      </c>
      <c r="K13" s="193">
        <f t="shared" si="3"/>
        <v>211182</v>
      </c>
      <c r="L13" s="191">
        <f t="shared" si="4"/>
        <v>577</v>
      </c>
      <c r="M13" s="192">
        <v>122</v>
      </c>
      <c r="N13" s="193">
        <f t="shared" si="5"/>
        <v>70394</v>
      </c>
      <c r="Q13" s="186" t="s">
        <v>200</v>
      </c>
      <c r="R13" s="190">
        <v>1210</v>
      </c>
      <c r="S13" s="187">
        <v>375</v>
      </c>
      <c r="T13" s="186">
        <f t="shared" si="6"/>
        <v>453750</v>
      </c>
      <c r="U13" s="190">
        <v>932</v>
      </c>
      <c r="V13" s="187">
        <v>410</v>
      </c>
      <c r="W13" s="188">
        <f t="shared" si="7"/>
        <v>382120</v>
      </c>
      <c r="X13" s="191">
        <f t="shared" si="8"/>
        <v>803.25</v>
      </c>
      <c r="Y13" s="192">
        <v>442</v>
      </c>
      <c r="Z13" s="193">
        <f t="shared" si="9"/>
        <v>355036.5</v>
      </c>
      <c r="AA13" s="191">
        <f t="shared" si="10"/>
        <v>267.75</v>
      </c>
      <c r="AB13" s="192">
        <v>442</v>
      </c>
      <c r="AC13" s="193">
        <f t="shared" si="11"/>
        <v>118345.5</v>
      </c>
    </row>
    <row r="14" spans="2:29" ht="12.75">
      <c r="B14" s="186" t="s">
        <v>201</v>
      </c>
      <c r="C14" s="187">
        <v>1965</v>
      </c>
      <c r="D14" s="187">
        <v>102</v>
      </c>
      <c r="E14" s="186">
        <f t="shared" si="0"/>
        <v>200430</v>
      </c>
      <c r="F14" s="217">
        <v>2622</v>
      </c>
      <c r="G14" s="217">
        <v>107</v>
      </c>
      <c r="H14" s="218">
        <f t="shared" si="1"/>
        <v>280554</v>
      </c>
      <c r="I14" s="191">
        <f t="shared" si="2"/>
        <v>1720.125</v>
      </c>
      <c r="J14" s="192">
        <v>122</v>
      </c>
      <c r="K14" s="193">
        <f t="shared" si="3"/>
        <v>209855.25</v>
      </c>
      <c r="L14" s="191">
        <f t="shared" si="4"/>
        <v>573.375</v>
      </c>
      <c r="M14" s="192">
        <v>122</v>
      </c>
      <c r="N14" s="193">
        <f t="shared" si="5"/>
        <v>69951.75</v>
      </c>
      <c r="Q14" s="186" t="s">
        <v>201</v>
      </c>
      <c r="R14" s="190">
        <v>1227</v>
      </c>
      <c r="S14" s="187">
        <v>378</v>
      </c>
      <c r="T14" s="186">
        <f t="shared" si="6"/>
        <v>463806</v>
      </c>
      <c r="U14" s="216">
        <v>787</v>
      </c>
      <c r="V14" s="217">
        <v>393</v>
      </c>
      <c r="W14" s="218">
        <f t="shared" si="7"/>
        <v>309291</v>
      </c>
      <c r="X14" s="191">
        <f t="shared" si="8"/>
        <v>755.25</v>
      </c>
      <c r="Y14" s="192">
        <v>442</v>
      </c>
      <c r="Z14" s="193">
        <f t="shared" si="9"/>
        <v>333820.5</v>
      </c>
      <c r="AA14" s="191">
        <f t="shared" si="10"/>
        <v>251.75</v>
      </c>
      <c r="AB14" s="192">
        <v>442</v>
      </c>
      <c r="AC14" s="193">
        <f t="shared" si="11"/>
        <v>111273.5</v>
      </c>
    </row>
    <row r="15" spans="2:29" ht="12.75">
      <c r="B15" s="186" t="s">
        <v>202</v>
      </c>
      <c r="C15" s="187">
        <v>2165</v>
      </c>
      <c r="D15" s="187">
        <v>106</v>
      </c>
      <c r="E15" s="186">
        <f t="shared" si="0"/>
        <v>229490</v>
      </c>
      <c r="F15" s="217">
        <v>1432</v>
      </c>
      <c r="G15" s="217">
        <v>107</v>
      </c>
      <c r="H15" s="218">
        <f t="shared" si="1"/>
        <v>153224</v>
      </c>
      <c r="I15" s="191">
        <f t="shared" si="2"/>
        <v>1348.875</v>
      </c>
      <c r="J15" s="192">
        <v>122</v>
      </c>
      <c r="K15" s="193">
        <f t="shared" si="3"/>
        <v>164562.75</v>
      </c>
      <c r="L15" s="191">
        <f t="shared" si="4"/>
        <v>449.625</v>
      </c>
      <c r="M15" s="192">
        <v>122</v>
      </c>
      <c r="N15" s="193">
        <f t="shared" si="5"/>
        <v>54854.25</v>
      </c>
      <c r="Q15" s="186" t="s">
        <v>202</v>
      </c>
      <c r="R15" s="190">
        <v>990</v>
      </c>
      <c r="S15" s="187">
        <v>410</v>
      </c>
      <c r="T15" s="186">
        <f t="shared" si="6"/>
        <v>405900</v>
      </c>
      <c r="U15" s="216">
        <v>629</v>
      </c>
      <c r="V15" s="217">
        <v>412</v>
      </c>
      <c r="W15" s="218">
        <f t="shared" si="7"/>
        <v>259148</v>
      </c>
      <c r="X15" s="191">
        <f t="shared" si="8"/>
        <v>607.125</v>
      </c>
      <c r="Y15" s="192">
        <v>442</v>
      </c>
      <c r="Z15" s="193">
        <f t="shared" si="9"/>
        <v>268349.25</v>
      </c>
      <c r="AA15" s="191">
        <f t="shared" si="10"/>
        <v>202.375</v>
      </c>
      <c r="AB15" s="192">
        <v>442</v>
      </c>
      <c r="AC15" s="193">
        <f t="shared" si="11"/>
        <v>89449.75</v>
      </c>
    </row>
    <row r="16" spans="2:29" ht="12.75">
      <c r="B16" s="186" t="s">
        <v>203</v>
      </c>
      <c r="C16" s="187">
        <v>2288</v>
      </c>
      <c r="D16" s="187">
        <v>109</v>
      </c>
      <c r="E16" s="186">
        <f t="shared" si="0"/>
        <v>249392</v>
      </c>
      <c r="F16" s="217">
        <v>1391</v>
      </c>
      <c r="G16" s="217">
        <v>118</v>
      </c>
      <c r="H16" s="218">
        <f t="shared" si="1"/>
        <v>164138</v>
      </c>
      <c r="I16" s="191">
        <f t="shared" si="2"/>
        <v>1379.625</v>
      </c>
      <c r="J16" s="192">
        <v>122</v>
      </c>
      <c r="K16" s="193">
        <f t="shared" si="3"/>
        <v>168314.25</v>
      </c>
      <c r="L16" s="191">
        <f t="shared" si="4"/>
        <v>459.875</v>
      </c>
      <c r="M16" s="192">
        <v>122</v>
      </c>
      <c r="N16" s="193">
        <f t="shared" si="5"/>
        <v>56104.75</v>
      </c>
      <c r="Q16" s="186" t="s">
        <v>203</v>
      </c>
      <c r="R16" s="190">
        <v>850</v>
      </c>
      <c r="S16" s="187">
        <v>410</v>
      </c>
      <c r="T16" s="186">
        <f t="shared" si="6"/>
        <v>348500</v>
      </c>
      <c r="U16" s="216">
        <v>465</v>
      </c>
      <c r="V16" s="217">
        <v>434</v>
      </c>
      <c r="W16" s="218">
        <f t="shared" si="7"/>
        <v>201810</v>
      </c>
      <c r="X16" s="191">
        <f t="shared" si="8"/>
        <v>493.125</v>
      </c>
      <c r="Y16" s="192">
        <v>442</v>
      </c>
      <c r="Z16" s="193">
        <f t="shared" si="9"/>
        <v>217961.25</v>
      </c>
      <c r="AA16" s="191">
        <f t="shared" si="10"/>
        <v>164.375</v>
      </c>
      <c r="AB16" s="192">
        <v>442</v>
      </c>
      <c r="AC16" s="193">
        <f t="shared" si="11"/>
        <v>72653.75</v>
      </c>
    </row>
    <row r="17" spans="2:29" ht="12.75">
      <c r="B17" s="186" t="s">
        <v>204</v>
      </c>
      <c r="C17" s="187">
        <v>2226</v>
      </c>
      <c r="D17" s="187">
        <v>110</v>
      </c>
      <c r="E17" s="186">
        <f t="shared" si="0"/>
        <v>244860</v>
      </c>
      <c r="F17" s="217">
        <v>1880</v>
      </c>
      <c r="G17" s="217">
        <v>118</v>
      </c>
      <c r="H17" s="218">
        <f t="shared" si="1"/>
        <v>221840</v>
      </c>
      <c r="I17" s="191">
        <f t="shared" si="2"/>
        <v>1539.75</v>
      </c>
      <c r="J17" s="192">
        <v>122</v>
      </c>
      <c r="K17" s="193">
        <f t="shared" si="3"/>
        <v>187849.5</v>
      </c>
      <c r="L17" s="191">
        <f t="shared" si="4"/>
        <v>513.25</v>
      </c>
      <c r="M17" s="192">
        <v>122</v>
      </c>
      <c r="N17" s="193">
        <f t="shared" si="5"/>
        <v>62616.5</v>
      </c>
      <c r="Q17" s="186" t="s">
        <v>204</v>
      </c>
      <c r="R17" s="190">
        <v>720</v>
      </c>
      <c r="S17" s="187">
        <v>410</v>
      </c>
      <c r="T17" s="186">
        <f t="shared" si="6"/>
        <v>295200</v>
      </c>
      <c r="U17" s="216">
        <v>361</v>
      </c>
      <c r="V17" s="217">
        <v>443</v>
      </c>
      <c r="W17" s="218">
        <f t="shared" si="7"/>
        <v>159923</v>
      </c>
      <c r="X17" s="191">
        <f t="shared" si="8"/>
        <v>405.375</v>
      </c>
      <c r="Y17" s="192">
        <v>442</v>
      </c>
      <c r="Z17" s="193">
        <f t="shared" si="9"/>
        <v>179175.75</v>
      </c>
      <c r="AA17" s="191">
        <f t="shared" si="10"/>
        <v>135.125</v>
      </c>
      <c r="AB17" s="192">
        <v>442</v>
      </c>
      <c r="AC17" s="193">
        <f t="shared" si="11"/>
        <v>59725.25</v>
      </c>
    </row>
    <row r="18" spans="2:29" ht="12.75">
      <c r="B18" s="186" t="s">
        <v>205</v>
      </c>
      <c r="C18" s="187">
        <v>1642</v>
      </c>
      <c r="D18" s="187">
        <v>120</v>
      </c>
      <c r="E18" s="186">
        <f t="shared" si="0"/>
        <v>197040</v>
      </c>
      <c r="F18" s="217">
        <v>1709</v>
      </c>
      <c r="G18" s="217">
        <v>118</v>
      </c>
      <c r="H18" s="218">
        <f t="shared" si="1"/>
        <v>201662</v>
      </c>
      <c r="I18" s="191">
        <f t="shared" si="2"/>
        <v>1256.625</v>
      </c>
      <c r="J18" s="192">
        <v>122</v>
      </c>
      <c r="K18" s="193">
        <f t="shared" si="3"/>
        <v>153308.25</v>
      </c>
      <c r="L18" s="191">
        <f t="shared" si="4"/>
        <v>418.875</v>
      </c>
      <c r="M18" s="192">
        <v>122</v>
      </c>
      <c r="N18" s="193">
        <f t="shared" si="5"/>
        <v>51102.75</v>
      </c>
      <c r="Q18" s="186" t="s">
        <v>205</v>
      </c>
      <c r="R18" s="190">
        <v>650</v>
      </c>
      <c r="S18" s="187">
        <v>410</v>
      </c>
      <c r="T18" s="186">
        <f t="shared" si="6"/>
        <v>266500</v>
      </c>
      <c r="U18" s="216">
        <v>206</v>
      </c>
      <c r="V18" s="217">
        <v>547</v>
      </c>
      <c r="W18" s="218">
        <f t="shared" si="7"/>
        <v>112682</v>
      </c>
      <c r="X18" s="191">
        <f t="shared" si="8"/>
        <v>321</v>
      </c>
      <c r="Y18" s="192">
        <v>442</v>
      </c>
      <c r="Z18" s="193">
        <f t="shared" si="9"/>
        <v>141882</v>
      </c>
      <c r="AA18" s="191">
        <f t="shared" si="10"/>
        <v>107</v>
      </c>
      <c r="AB18" s="192">
        <v>442</v>
      </c>
      <c r="AC18" s="193">
        <f t="shared" si="11"/>
        <v>47294</v>
      </c>
    </row>
    <row r="19" spans="2:29" ht="12.75">
      <c r="B19" s="194" t="s">
        <v>206</v>
      </c>
      <c r="C19" s="195">
        <f aca="true" t="shared" si="12" ref="C19:I19">SUM(C7:C18)</f>
        <v>22347</v>
      </c>
      <c r="D19" s="195">
        <f t="shared" si="12"/>
        <v>1263</v>
      </c>
      <c r="E19" s="195">
        <f t="shared" si="12"/>
        <v>2362137</v>
      </c>
      <c r="F19" s="195">
        <f t="shared" si="12"/>
        <v>22088</v>
      </c>
      <c r="G19" s="196">
        <f t="shared" si="12"/>
        <v>1374</v>
      </c>
      <c r="H19" s="195">
        <f t="shared" si="12"/>
        <v>2488231</v>
      </c>
      <c r="I19" s="197">
        <f t="shared" si="12"/>
        <v>16663.125</v>
      </c>
      <c r="J19" s="198"/>
      <c r="K19" s="197">
        <f>SUM(K7:K18)</f>
        <v>2032901.25</v>
      </c>
      <c r="L19" s="197">
        <f>SUM(L7:L18)</f>
        <v>5554.375</v>
      </c>
      <c r="M19" s="198"/>
      <c r="N19" s="197">
        <f>SUM(N7:N18)</f>
        <v>677633.75</v>
      </c>
      <c r="Q19" s="194" t="s">
        <v>206</v>
      </c>
      <c r="R19" s="195">
        <f>SUM(R7:R18)</f>
        <v>8624</v>
      </c>
      <c r="S19" s="196"/>
      <c r="T19" s="195">
        <f>SUM(T7:T18)</f>
        <v>3297056</v>
      </c>
      <c r="U19" s="195">
        <f>SUM(U7:U18)</f>
        <v>5519</v>
      </c>
      <c r="V19" s="184">
        <f>SUM(V7:V18)</f>
        <v>5121</v>
      </c>
      <c r="W19" s="195">
        <f>SUM(W7:W18)</f>
        <v>2319743</v>
      </c>
      <c r="X19" s="197">
        <f>SUM(X7:X18)</f>
        <v>5303.625</v>
      </c>
      <c r="Y19" s="198"/>
      <c r="Z19" s="197">
        <f>SUM(Z7:Z18)</f>
        <v>2344202.25</v>
      </c>
      <c r="AA19" s="197">
        <f>SUM(AA7:AA18)</f>
        <v>1767.875</v>
      </c>
      <c r="AB19" s="198"/>
      <c r="AC19" s="197">
        <f>SUM(AC7:AC18)</f>
        <v>781400.75</v>
      </c>
    </row>
    <row r="20" spans="5:29" ht="12.75">
      <c r="E20" s="194" t="s">
        <v>207</v>
      </c>
      <c r="F20" s="188">
        <f>+F7+F8+F9+F18</f>
        <v>6810</v>
      </c>
      <c r="G20" s="199">
        <v>118</v>
      </c>
      <c r="H20" s="188">
        <f>+H7+H8+H9+H18</f>
        <v>834533</v>
      </c>
      <c r="I20" s="193">
        <f>+I7+I8+I9+I18</f>
        <v>4834.125</v>
      </c>
      <c r="J20" s="200"/>
      <c r="K20" s="205" t="s">
        <v>207</v>
      </c>
      <c r="L20" s="193">
        <f>+L7+L8+L9+L18</f>
        <v>1611.375</v>
      </c>
      <c r="M20" s="200"/>
      <c r="N20" s="193">
        <f>+N7+N8+N9+N18</f>
        <v>196587.75</v>
      </c>
      <c r="T20" s="194" t="s">
        <v>207</v>
      </c>
      <c r="U20" s="188">
        <f>+U7+U8+U9+U18</f>
        <v>679</v>
      </c>
      <c r="V20" s="187">
        <f>+V19/12</f>
        <v>426.75</v>
      </c>
      <c r="W20" s="194" t="s">
        <v>207</v>
      </c>
      <c r="X20" s="193">
        <f>+X7+X8+X9+X18</f>
        <v>944.625</v>
      </c>
      <c r="Y20" s="200"/>
      <c r="Z20" s="205" t="s">
        <v>207</v>
      </c>
      <c r="AA20" s="193">
        <f>+AA7+AA8+AA9+AA18</f>
        <v>314.875</v>
      </c>
      <c r="AB20" s="200"/>
      <c r="AC20" s="193">
        <f>+AC7+AC8+AC9+AC18</f>
        <v>139174.75</v>
      </c>
    </row>
    <row r="21" spans="5:29" ht="12.75">
      <c r="E21" s="194" t="s">
        <v>208</v>
      </c>
      <c r="F21" s="188">
        <f>SUM(F10:F17)</f>
        <v>15278</v>
      </c>
      <c r="G21" s="201">
        <v>0.037</v>
      </c>
      <c r="H21" s="188">
        <f>SUM(H10:H17)</f>
        <v>1653698</v>
      </c>
      <c r="I21" s="193">
        <f>SUM(I10:I17)</f>
        <v>11829</v>
      </c>
      <c r="J21" s="200"/>
      <c r="K21" s="205" t="s">
        <v>208</v>
      </c>
      <c r="L21" s="193">
        <f>SUM(L10:L17)</f>
        <v>3943</v>
      </c>
      <c r="M21" s="200"/>
      <c r="N21" s="193">
        <f>SUM(N10:N17)</f>
        <v>481046</v>
      </c>
      <c r="T21" s="194" t="s">
        <v>208</v>
      </c>
      <c r="U21" s="188">
        <f>SUM(U10:U17)</f>
        <v>4840</v>
      </c>
      <c r="V21" s="202">
        <v>0.037</v>
      </c>
      <c r="W21" s="194" t="s">
        <v>208</v>
      </c>
      <c r="X21" s="193">
        <f>SUM(X10:X17)</f>
        <v>4359</v>
      </c>
      <c r="Y21" s="200"/>
      <c r="Z21" s="205" t="s">
        <v>208</v>
      </c>
      <c r="AA21" s="193">
        <f>SUM(AA10:AA17)</f>
        <v>1453</v>
      </c>
      <c r="AB21" s="200"/>
      <c r="AC21" s="193">
        <f>SUM(AC10:AC17)</f>
        <v>642226</v>
      </c>
    </row>
    <row r="22" spans="5:29" ht="12.75">
      <c r="E22" s="196" t="s">
        <v>209</v>
      </c>
      <c r="F22" s="195">
        <f>+F20+F21</f>
        <v>22088</v>
      </c>
      <c r="G22" s="196">
        <f>+G20*1.037</f>
        <v>122.36599999999999</v>
      </c>
      <c r="H22" s="195">
        <f>+H20+H21</f>
        <v>2488231</v>
      </c>
      <c r="I22" s="197">
        <f>+I20+I21</f>
        <v>16663.125</v>
      </c>
      <c r="J22" s="200"/>
      <c r="K22" s="198" t="s">
        <v>209</v>
      </c>
      <c r="L22" s="197">
        <f>+L20+L21</f>
        <v>5554.375</v>
      </c>
      <c r="M22" s="200"/>
      <c r="N22" s="197">
        <f>+N20+N21</f>
        <v>677633.75</v>
      </c>
      <c r="T22" s="196" t="s">
        <v>209</v>
      </c>
      <c r="U22" s="195">
        <f>+U20+U21</f>
        <v>5519</v>
      </c>
      <c r="V22" s="196">
        <f>+V20*1.037</f>
        <v>442.53974999999997</v>
      </c>
      <c r="W22" s="196" t="s">
        <v>209</v>
      </c>
      <c r="X22" s="197">
        <f>+X20+X21</f>
        <v>5303.625</v>
      </c>
      <c r="Y22" s="200"/>
      <c r="Z22" s="198" t="s">
        <v>209</v>
      </c>
      <c r="AA22" s="197">
        <f>+AA20+AA21</f>
        <v>1767.875</v>
      </c>
      <c r="AB22" s="200"/>
      <c r="AC22" s="197">
        <f>+AC20+AC21</f>
        <v>781400.75</v>
      </c>
    </row>
    <row r="25" spans="18:21" ht="12.75">
      <c r="R25" s="173">
        <f>+R19/12</f>
        <v>718.6666666666666</v>
      </c>
      <c r="U25" s="173">
        <f>+U19/12</f>
        <v>459.9166666666667</v>
      </c>
    </row>
    <row r="26" ht="15">
      <c r="B26" s="172" t="s">
        <v>183</v>
      </c>
    </row>
    <row r="27" spans="2:5" ht="12.75">
      <c r="B27" s="174"/>
      <c r="C27" s="174"/>
      <c r="D27" s="174"/>
      <c r="E27" s="174"/>
    </row>
    <row r="28" spans="2:14" ht="12.75">
      <c r="B28" s="203" t="s">
        <v>211</v>
      </c>
      <c r="C28" s="175"/>
      <c r="D28" s="176" t="s">
        <v>214</v>
      </c>
      <c r="E28" s="177"/>
      <c r="F28" s="178"/>
      <c r="G28" s="179" t="s">
        <v>215</v>
      </c>
      <c r="H28" s="180"/>
      <c r="I28" s="181"/>
      <c r="J28" s="182" t="s">
        <v>219</v>
      </c>
      <c r="K28" s="183"/>
      <c r="L28" s="181"/>
      <c r="M28" s="182" t="s">
        <v>220</v>
      </c>
      <c r="N28" s="183"/>
    </row>
    <row r="29" spans="2:14" ht="12.75">
      <c r="B29" s="204" t="s">
        <v>212</v>
      </c>
      <c r="C29" s="184" t="s">
        <v>192</v>
      </c>
      <c r="D29" s="184" t="s">
        <v>190</v>
      </c>
      <c r="E29" s="184" t="s">
        <v>191</v>
      </c>
      <c r="F29" s="184" t="s">
        <v>192</v>
      </c>
      <c r="G29" s="184" t="s">
        <v>190</v>
      </c>
      <c r="H29" s="184" t="s">
        <v>191</v>
      </c>
      <c r="I29" s="185" t="s">
        <v>192</v>
      </c>
      <c r="J29" s="185" t="s">
        <v>190</v>
      </c>
      <c r="K29" s="185" t="s">
        <v>191</v>
      </c>
      <c r="L29" s="185" t="s">
        <v>192</v>
      </c>
      <c r="M29" s="185" t="s">
        <v>190</v>
      </c>
      <c r="N29" s="185" t="s">
        <v>191</v>
      </c>
    </row>
    <row r="30" spans="2:14" ht="12.75">
      <c r="B30" s="186" t="s">
        <v>194</v>
      </c>
      <c r="C30" s="190">
        <v>172</v>
      </c>
      <c r="D30" s="187">
        <v>433</v>
      </c>
      <c r="E30" s="186">
        <f>+C30*D30</f>
        <v>74476</v>
      </c>
      <c r="F30" s="190">
        <v>51</v>
      </c>
      <c r="G30" s="187">
        <v>510</v>
      </c>
      <c r="H30" s="188">
        <f>+F30*G30</f>
        <v>26010</v>
      </c>
      <c r="I30" s="191">
        <f>+((C30+F30)/2)*0.75</f>
        <v>83.625</v>
      </c>
      <c r="J30" s="192">
        <v>441</v>
      </c>
      <c r="K30" s="193">
        <f>+I30*J30</f>
        <v>36878.625</v>
      </c>
      <c r="L30" s="191">
        <f aca="true" t="shared" si="13" ref="L30:L41">+((C30+F30)/2)*0.25</f>
        <v>27.875</v>
      </c>
      <c r="M30" s="192">
        <v>441</v>
      </c>
      <c r="N30" s="193">
        <f>+L30*M30</f>
        <v>12292.875</v>
      </c>
    </row>
    <row r="31" spans="2:14" ht="12.75">
      <c r="B31" s="186" t="s">
        <v>195</v>
      </c>
      <c r="C31" s="190">
        <v>81</v>
      </c>
      <c r="D31" s="187">
        <v>433</v>
      </c>
      <c r="E31" s="186">
        <f aca="true" t="shared" si="14" ref="E31:E41">+C31*D31</f>
        <v>35073</v>
      </c>
      <c r="F31" s="190">
        <v>90</v>
      </c>
      <c r="G31" s="187">
        <v>742</v>
      </c>
      <c r="H31" s="188">
        <f aca="true" t="shared" si="15" ref="H31:H41">+F31*G31</f>
        <v>66780</v>
      </c>
      <c r="I31" s="191">
        <f aca="true" t="shared" si="16" ref="I31:I41">+((C31+F31)/2)*0.75</f>
        <v>64.125</v>
      </c>
      <c r="J31" s="192">
        <v>441</v>
      </c>
      <c r="K31" s="193">
        <f aca="true" t="shared" si="17" ref="K31:K41">+I31*J31</f>
        <v>28279.125</v>
      </c>
      <c r="L31" s="191">
        <f t="shared" si="13"/>
        <v>21.375</v>
      </c>
      <c r="M31" s="192">
        <v>441</v>
      </c>
      <c r="N31" s="193">
        <f aca="true" t="shared" si="18" ref="N31:N41">+L31*M31</f>
        <v>9426.375</v>
      </c>
    </row>
    <row r="32" spans="2:14" ht="12.75">
      <c r="B32" s="186" t="s">
        <v>196</v>
      </c>
      <c r="C32" s="190">
        <v>86</v>
      </c>
      <c r="D32" s="187">
        <v>414</v>
      </c>
      <c r="E32" s="186">
        <f t="shared" si="14"/>
        <v>35604</v>
      </c>
      <c r="F32" s="190">
        <v>23</v>
      </c>
      <c r="G32" s="187">
        <v>755</v>
      </c>
      <c r="H32" s="188">
        <f t="shared" si="15"/>
        <v>17365</v>
      </c>
      <c r="I32" s="191">
        <f t="shared" si="16"/>
        <v>40.875</v>
      </c>
      <c r="J32" s="192">
        <v>441</v>
      </c>
      <c r="K32" s="193">
        <f t="shared" si="17"/>
        <v>18025.875</v>
      </c>
      <c r="L32" s="191">
        <f t="shared" si="13"/>
        <v>13.625</v>
      </c>
      <c r="M32" s="192">
        <v>441</v>
      </c>
      <c r="N32" s="193">
        <f t="shared" si="18"/>
        <v>6008.625</v>
      </c>
    </row>
    <row r="33" spans="2:14" ht="12.75">
      <c r="B33" s="186" t="s">
        <v>197</v>
      </c>
      <c r="C33" s="190">
        <v>37</v>
      </c>
      <c r="D33" s="187">
        <v>414</v>
      </c>
      <c r="E33" s="186">
        <f t="shared" si="14"/>
        <v>15318</v>
      </c>
      <c r="F33" s="190">
        <v>54</v>
      </c>
      <c r="G33" s="187">
        <v>755</v>
      </c>
      <c r="H33" s="188">
        <f t="shared" si="15"/>
        <v>40770</v>
      </c>
      <c r="I33" s="191">
        <f t="shared" si="16"/>
        <v>34.125</v>
      </c>
      <c r="J33" s="192">
        <v>441</v>
      </c>
      <c r="K33" s="193">
        <f t="shared" si="17"/>
        <v>15049.125</v>
      </c>
      <c r="L33" s="191">
        <f t="shared" si="13"/>
        <v>11.375</v>
      </c>
      <c r="M33" s="192">
        <v>441</v>
      </c>
      <c r="N33" s="193">
        <f t="shared" si="18"/>
        <v>5016.375</v>
      </c>
    </row>
    <row r="34" spans="2:14" ht="12.75">
      <c r="B34" s="186" t="s">
        <v>198</v>
      </c>
      <c r="C34" s="190">
        <v>45</v>
      </c>
      <c r="D34" s="187">
        <v>415</v>
      </c>
      <c r="E34" s="186">
        <f t="shared" si="14"/>
        <v>18675</v>
      </c>
      <c r="F34" s="190">
        <v>33</v>
      </c>
      <c r="G34" s="187">
        <v>755</v>
      </c>
      <c r="H34" s="188">
        <f t="shared" si="15"/>
        <v>24915</v>
      </c>
      <c r="I34" s="191">
        <f t="shared" si="16"/>
        <v>29.25</v>
      </c>
      <c r="J34" s="192">
        <v>441</v>
      </c>
      <c r="K34" s="193">
        <f t="shared" si="17"/>
        <v>12899.25</v>
      </c>
      <c r="L34" s="191">
        <f t="shared" si="13"/>
        <v>9.75</v>
      </c>
      <c r="M34" s="192">
        <v>441</v>
      </c>
      <c r="N34" s="193">
        <f t="shared" si="18"/>
        <v>4299.75</v>
      </c>
    </row>
    <row r="35" spans="2:14" ht="12.75">
      <c r="B35" s="186" t="s">
        <v>199</v>
      </c>
      <c r="C35" s="190">
        <v>45</v>
      </c>
      <c r="D35" s="187">
        <v>396</v>
      </c>
      <c r="E35" s="186">
        <f t="shared" si="14"/>
        <v>17820</v>
      </c>
      <c r="F35" s="216">
        <v>35</v>
      </c>
      <c r="G35" s="217">
        <v>425</v>
      </c>
      <c r="H35" s="218">
        <f t="shared" si="15"/>
        <v>14875</v>
      </c>
      <c r="I35" s="191">
        <f t="shared" si="16"/>
        <v>30</v>
      </c>
      <c r="J35" s="192">
        <v>441</v>
      </c>
      <c r="K35" s="193">
        <f t="shared" si="17"/>
        <v>13230</v>
      </c>
      <c r="L35" s="191">
        <f t="shared" si="13"/>
        <v>10</v>
      </c>
      <c r="M35" s="192">
        <v>441</v>
      </c>
      <c r="N35" s="193">
        <f t="shared" si="18"/>
        <v>4410</v>
      </c>
    </row>
    <row r="36" spans="2:14" ht="12.75">
      <c r="B36" s="186" t="s">
        <v>200</v>
      </c>
      <c r="C36" s="189">
        <v>28</v>
      </c>
      <c r="D36" s="187">
        <v>414</v>
      </c>
      <c r="E36" s="186">
        <f t="shared" si="14"/>
        <v>11592</v>
      </c>
      <c r="F36" s="219">
        <v>33</v>
      </c>
      <c r="G36" s="217">
        <v>425</v>
      </c>
      <c r="H36" s="218">
        <f t="shared" si="15"/>
        <v>14025</v>
      </c>
      <c r="I36" s="191">
        <f t="shared" si="16"/>
        <v>22.875</v>
      </c>
      <c r="J36" s="192">
        <v>441</v>
      </c>
      <c r="K36" s="193">
        <f t="shared" si="17"/>
        <v>10087.875</v>
      </c>
      <c r="L36" s="191">
        <f t="shared" si="13"/>
        <v>7.625</v>
      </c>
      <c r="M36" s="192">
        <v>441</v>
      </c>
      <c r="N36" s="193">
        <f t="shared" si="18"/>
        <v>3362.625</v>
      </c>
    </row>
    <row r="37" spans="2:14" ht="12.75">
      <c r="B37" s="186" t="s">
        <v>201</v>
      </c>
      <c r="C37" s="187">
        <v>46</v>
      </c>
      <c r="D37" s="187">
        <v>416</v>
      </c>
      <c r="E37" s="186">
        <f t="shared" si="14"/>
        <v>19136</v>
      </c>
      <c r="F37" s="217">
        <v>63</v>
      </c>
      <c r="G37" s="217">
        <v>427</v>
      </c>
      <c r="H37" s="218">
        <f t="shared" si="15"/>
        <v>26901</v>
      </c>
      <c r="I37" s="191">
        <f t="shared" si="16"/>
        <v>40.875</v>
      </c>
      <c r="J37" s="192">
        <v>441</v>
      </c>
      <c r="K37" s="193">
        <f t="shared" si="17"/>
        <v>18025.875</v>
      </c>
      <c r="L37" s="191">
        <f t="shared" si="13"/>
        <v>13.625</v>
      </c>
      <c r="M37" s="192">
        <v>441</v>
      </c>
      <c r="N37" s="193">
        <f t="shared" si="18"/>
        <v>6008.625</v>
      </c>
    </row>
    <row r="38" spans="2:14" ht="12.75">
      <c r="B38" s="186" t="s">
        <v>202</v>
      </c>
      <c r="C38" s="187">
        <v>26</v>
      </c>
      <c r="D38" s="187">
        <v>414</v>
      </c>
      <c r="E38" s="186">
        <f t="shared" si="14"/>
        <v>10764</v>
      </c>
      <c r="F38" s="217">
        <v>29</v>
      </c>
      <c r="G38" s="217">
        <v>427</v>
      </c>
      <c r="H38" s="218">
        <f t="shared" si="15"/>
        <v>12383</v>
      </c>
      <c r="I38" s="191">
        <f t="shared" si="16"/>
        <v>20.625</v>
      </c>
      <c r="J38" s="192">
        <v>441</v>
      </c>
      <c r="K38" s="193">
        <f t="shared" si="17"/>
        <v>9095.625</v>
      </c>
      <c r="L38" s="191">
        <f t="shared" si="13"/>
        <v>6.875</v>
      </c>
      <c r="M38" s="192">
        <v>441</v>
      </c>
      <c r="N38" s="193">
        <f t="shared" si="18"/>
        <v>3031.875</v>
      </c>
    </row>
    <row r="39" spans="2:14" ht="12.75">
      <c r="B39" s="186" t="s">
        <v>203</v>
      </c>
      <c r="C39" s="187">
        <v>49</v>
      </c>
      <c r="D39" s="187">
        <v>424</v>
      </c>
      <c r="E39" s="186">
        <f t="shared" si="14"/>
        <v>20776</v>
      </c>
      <c r="F39" s="217">
        <v>46</v>
      </c>
      <c r="G39" s="217">
        <v>425</v>
      </c>
      <c r="H39" s="218">
        <f t="shared" si="15"/>
        <v>19550</v>
      </c>
      <c r="I39" s="191">
        <f t="shared" si="16"/>
        <v>35.625</v>
      </c>
      <c r="J39" s="192">
        <v>441</v>
      </c>
      <c r="K39" s="193">
        <f t="shared" si="17"/>
        <v>15710.625</v>
      </c>
      <c r="L39" s="191">
        <f t="shared" si="13"/>
        <v>11.875</v>
      </c>
      <c r="M39" s="192">
        <v>441</v>
      </c>
      <c r="N39" s="193">
        <f t="shared" si="18"/>
        <v>5236.875</v>
      </c>
    </row>
    <row r="40" spans="2:14" ht="12.75">
      <c r="B40" s="186" t="s">
        <v>204</v>
      </c>
      <c r="C40" s="187">
        <v>48</v>
      </c>
      <c r="D40" s="187">
        <v>425</v>
      </c>
      <c r="E40" s="186">
        <f t="shared" si="14"/>
        <v>20400</v>
      </c>
      <c r="F40" s="217">
        <v>65</v>
      </c>
      <c r="G40" s="217">
        <v>425</v>
      </c>
      <c r="H40" s="218">
        <f t="shared" si="15"/>
        <v>27625</v>
      </c>
      <c r="I40" s="191">
        <f t="shared" si="16"/>
        <v>42.375</v>
      </c>
      <c r="J40" s="192">
        <v>441</v>
      </c>
      <c r="K40" s="193">
        <f t="shared" si="17"/>
        <v>18687.375</v>
      </c>
      <c r="L40" s="191">
        <f t="shared" si="13"/>
        <v>14.125</v>
      </c>
      <c r="M40" s="192">
        <v>441</v>
      </c>
      <c r="N40" s="193">
        <f t="shared" si="18"/>
        <v>6229.125</v>
      </c>
    </row>
    <row r="41" spans="2:14" ht="12.75">
      <c r="B41" s="186" t="s">
        <v>205</v>
      </c>
      <c r="C41" s="187">
        <v>125</v>
      </c>
      <c r="D41" s="187">
        <v>424</v>
      </c>
      <c r="E41" s="186">
        <f t="shared" si="14"/>
        <v>53000</v>
      </c>
      <c r="F41" s="217">
        <v>162</v>
      </c>
      <c r="G41" s="217">
        <v>425</v>
      </c>
      <c r="H41" s="218">
        <f t="shared" si="15"/>
        <v>68850</v>
      </c>
      <c r="I41" s="191">
        <f t="shared" si="16"/>
        <v>107.625</v>
      </c>
      <c r="J41" s="192">
        <v>441</v>
      </c>
      <c r="K41" s="193">
        <f t="shared" si="17"/>
        <v>47462.625</v>
      </c>
      <c r="L41" s="191">
        <f t="shared" si="13"/>
        <v>35.875</v>
      </c>
      <c r="M41" s="192">
        <v>441</v>
      </c>
      <c r="N41" s="193">
        <f t="shared" si="18"/>
        <v>15820.875</v>
      </c>
    </row>
    <row r="42" spans="2:19" ht="12.75">
      <c r="B42" s="194" t="s">
        <v>206</v>
      </c>
      <c r="C42" s="195">
        <f aca="true" t="shared" si="19" ref="C42:I42">SUM(C30:C41)</f>
        <v>788</v>
      </c>
      <c r="D42" s="195">
        <f t="shared" si="19"/>
        <v>5022</v>
      </c>
      <c r="E42" s="195">
        <f t="shared" si="19"/>
        <v>332634</v>
      </c>
      <c r="F42" s="195">
        <f t="shared" si="19"/>
        <v>684</v>
      </c>
      <c r="G42" s="196">
        <f t="shared" si="19"/>
        <v>6496</v>
      </c>
      <c r="H42" s="195">
        <f t="shared" si="19"/>
        <v>360049</v>
      </c>
      <c r="I42" s="197">
        <f t="shared" si="19"/>
        <v>552</v>
      </c>
      <c r="J42" s="198"/>
      <c r="K42" s="197">
        <f>SUM(K30:K41)</f>
        <v>243432</v>
      </c>
      <c r="L42" s="197">
        <f>SUM(L30:L41)</f>
        <v>184</v>
      </c>
      <c r="M42" s="198"/>
      <c r="N42" s="197">
        <f>SUM(N30:N41)</f>
        <v>81144</v>
      </c>
      <c r="S42" s="266"/>
    </row>
    <row r="43" spans="5:20" ht="12.75">
      <c r="E43" s="194" t="s">
        <v>207</v>
      </c>
      <c r="F43" s="188">
        <f>+F30+F31+F32+F41</f>
        <v>326</v>
      </c>
      <c r="G43" s="186">
        <v>425</v>
      </c>
      <c r="H43" s="188">
        <f>+H30+H31+H32+H41</f>
        <v>179005</v>
      </c>
      <c r="I43" s="193">
        <f>+I30+I31+I32+I41</f>
        <v>296.25</v>
      </c>
      <c r="J43" s="200"/>
      <c r="K43" s="205" t="s">
        <v>207</v>
      </c>
      <c r="L43" s="193">
        <f>+L30+L31+L32+L41</f>
        <v>98.75</v>
      </c>
      <c r="M43" s="200"/>
      <c r="N43" s="193">
        <f>+N30+N31+N32+N41</f>
        <v>43548.75</v>
      </c>
      <c r="S43" s="267"/>
      <c r="T43" s="267"/>
    </row>
    <row r="44" spans="5:14" ht="12.75">
      <c r="E44" s="194" t="s">
        <v>208</v>
      </c>
      <c r="F44" s="188">
        <f>SUM(F33:F40)</f>
        <v>358</v>
      </c>
      <c r="G44" s="201">
        <v>0.037</v>
      </c>
      <c r="H44" s="188">
        <f>SUM(H33:H40)</f>
        <v>181044</v>
      </c>
      <c r="I44" s="193">
        <f>SUM(I33:I40)</f>
        <v>255.75</v>
      </c>
      <c r="J44" s="200"/>
      <c r="K44" s="205" t="s">
        <v>208</v>
      </c>
      <c r="L44" s="193">
        <f>SUM(L33:L40)</f>
        <v>85.25</v>
      </c>
      <c r="M44" s="200"/>
      <c r="N44" s="193">
        <f>SUM(N33:N40)</f>
        <v>37595.25</v>
      </c>
    </row>
    <row r="45" spans="5:14" ht="12.75">
      <c r="E45" s="196" t="s">
        <v>209</v>
      </c>
      <c r="F45" s="195">
        <f>+F43+F44</f>
        <v>684</v>
      </c>
      <c r="G45" s="196">
        <f>+G43*1.037</f>
        <v>440.72499999999997</v>
      </c>
      <c r="H45" s="195">
        <f>+H43+H44</f>
        <v>360049</v>
      </c>
      <c r="I45" s="197">
        <f>+I43+I44</f>
        <v>552</v>
      </c>
      <c r="J45" s="200"/>
      <c r="K45" s="198" t="s">
        <v>209</v>
      </c>
      <c r="L45" s="197">
        <f>+L43+L44</f>
        <v>184</v>
      </c>
      <c r="M45" s="200"/>
      <c r="N45" s="197">
        <f>+N43+N44</f>
        <v>81144</v>
      </c>
    </row>
  </sheetData>
  <sheetProtection password="C581"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2016-05-13T13:23:57Z</cp:lastPrinted>
  <dcterms:created xsi:type="dcterms:W3CDTF">2004-08-23T01:48:25Z</dcterms:created>
  <dcterms:modified xsi:type="dcterms:W3CDTF">2017-12-12T17:49:25Z</dcterms:modified>
  <cp:category/>
  <cp:version/>
  <cp:contentType/>
  <cp:contentStatus/>
  <cp:revision>37</cp:revision>
</cp:coreProperties>
</file>