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4.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8136" tabRatio="907" firstSheet="1" activeTab="2"/>
  </bookViews>
  <sheets>
    <sheet name="Gráfico1" sheetId="1" r:id="rId1"/>
    <sheet name="Gráfico2" sheetId="2" r:id="rId2"/>
    <sheet name="Ap. 2 Ingresos C. Benef." sheetId="3" r:id="rId3"/>
    <sheet name="Ap. 3 Costos Directos" sheetId="4" r:id="rId4"/>
    <sheet name="Ap. 4 Costos Indirectos" sheetId="5" r:id="rId5"/>
    <sheet name="Ap. 5 Tarifado " sheetId="6" r:id="rId6"/>
    <sheet name="Ap. 1 Est. Precios " sheetId="7" r:id="rId7"/>
    <sheet name="EXPO 5,3%" sheetId="8" r:id="rId8"/>
    <sheet name="Hoja1" sheetId="9" r:id="rId9"/>
  </sheets>
  <externalReferences>
    <externalReference r:id="rId12"/>
  </externalReferences>
  <definedNames>
    <definedName name="_xlnm.Print_Area" localSheetId="6">'Ap. 1 Est. Precios '!$A$1:$E$27</definedName>
    <definedName name="_xlnm.Print_Area" localSheetId="2">'Ap. 2 Ingresos C. Benef.'!$A$1:$Q$46</definedName>
    <definedName name="_xlnm.Print_Area" localSheetId="3">'Ap. 3 Costos Directos'!$B$1:$O$94</definedName>
    <definedName name="_xlnm.Print_Area" localSheetId="4">'Ap. 4 Costos Indirectos'!$A$1:$C$55</definedName>
    <definedName name="_xlnm.Print_Area" localSheetId="5">'Ap. 5 Tarifado '!$A$1:$J$10</definedName>
    <definedName name="Excel_BuiltIn_Print_Area_2_1">'Ap. 3 Costos Directos'!$A$1:$H$66</definedName>
    <definedName name="Excel_BuiltIn_Print_Titles_4">'Ap. 5 Tarifado '!#REF!</definedName>
    <definedName name="Excel_BuiltIn_Print_Titles_5">'Ap. 1 Est. Precios '!#REF!</definedName>
    <definedName name="_xlnm.Print_Titles" localSheetId="2">'Ap. 2 Ingresos C. Benef.'!$1:$15</definedName>
    <definedName name="_xlnm.Print_Titles" localSheetId="3">'Ap. 3 Costos Directos'!$1:$8</definedName>
    <definedName name="_xlnm.Print_Titles" localSheetId="4">'Ap. 4 Costos Indirectos'!$7:$8</definedName>
  </definedNames>
  <calcPr fullCalcOnLoad="1"/>
</workbook>
</file>

<file path=xl/comments3.xml><?xml version="1.0" encoding="utf-8"?>
<comments xmlns="http://schemas.openxmlformats.org/spreadsheetml/2006/main">
  <authors>
    <author>Owner</author>
  </authors>
  <commentList>
    <comment ref="D9" authorId="0">
      <text>
        <r>
          <rPr>
            <b/>
            <sz val="9"/>
            <rFont val="Tahoma"/>
            <family val="2"/>
          </rPr>
          <t>Owner:</t>
        </r>
        <r>
          <rPr>
            <sz val="9"/>
            <rFont val="Tahoma"/>
            <family val="2"/>
          </rPr>
          <t xml:space="preserve">
VALOR ESTIMATIVO</t>
        </r>
      </text>
    </comment>
  </commentList>
</comments>
</file>

<file path=xl/comments4.xml><?xml version="1.0" encoding="utf-8"?>
<comments xmlns="http://schemas.openxmlformats.org/spreadsheetml/2006/main">
  <authors>
    <author>eduardo</author>
    <author>jgomezg</author>
    <author>Usuario</author>
    <author>Administrador</author>
    <author>salareuniones</author>
    <author>Taller</author>
    <author>Maria Jose Hernandez</author>
    <author>Bienvalp</author>
  </authors>
  <commentList>
    <comment ref="D69" authorId="0">
      <text>
        <r>
          <rPr>
            <sz val="8"/>
            <rFont val="Tahoma"/>
            <family val="2"/>
          </rPr>
          <t>Considera:
- Proyección gasto lavandería según gasto año 2015 más fumigación gasto año 2016. 
lavandería 2015: $103.032.-
Fumigación 2016: $ 1.509.395.-</t>
        </r>
      </text>
    </comment>
    <comment ref="D68" authorId="1">
      <text>
        <r>
          <rPr>
            <b/>
            <sz val="8"/>
            <rFont val="Tahoma"/>
            <family val="2"/>
          </rPr>
          <t>jgomezg:</t>
        </r>
        <r>
          <rPr>
            <sz val="8"/>
            <rFont val="Tahoma"/>
            <family val="2"/>
          </rPr>
          <t xml:space="preserve">
juegos infantiles y actv. De animacion</t>
        </r>
      </text>
    </comment>
    <comment ref="D23" authorId="2">
      <text>
        <r>
          <rPr>
            <sz val="9"/>
            <rFont val="Tahoma"/>
            <family val="2"/>
          </rPr>
          <t xml:space="preserve">Rancho personal: $1730x 3personasx21díasx11meses: $1.141.800.-
Las 3 personas son:
Ley 18712: 
Directora
Psicóloga
Manipuladora de Alimentos
</t>
        </r>
      </text>
    </comment>
    <comment ref="D27" authorId="2">
      <text>
        <r>
          <rPr>
            <b/>
            <sz val="9"/>
            <rFont val="Tahoma"/>
            <family val="2"/>
          </rPr>
          <t xml:space="preserve">Usuario:
Vesturario para dotación:
</t>
        </r>
        <r>
          <rPr>
            <sz val="9"/>
            <rFont val="Tahoma"/>
            <family val="2"/>
          </rPr>
          <t xml:space="preserve">30 poleras institucionales: $12.399 c/u, delantalates personal faltante (07): $ 109.716.-                                                                                                                                                                                                                                                          </t>
        </r>
      </text>
    </comment>
    <comment ref="D33" authorId="2">
      <text>
        <r>
          <rPr>
            <b/>
            <sz val="9"/>
            <rFont val="Tahoma"/>
            <family val="2"/>
          </rPr>
          <t>Usuario:</t>
        </r>
        <r>
          <rPr>
            <sz val="9"/>
            <rFont val="Tahoma"/>
            <family val="2"/>
          </rPr>
          <t xml:space="preserve">
4 leccionarios: $67.677.-,  10 cuadernos de planificación $124.987.-  
</t>
        </r>
      </text>
    </comment>
    <comment ref="D24" authorId="2">
      <text>
        <r>
          <rPr>
            <b/>
            <sz val="9"/>
            <rFont val="Tahoma"/>
            <family val="2"/>
          </rPr>
          <t>Usuario:</t>
        </r>
        <r>
          <rPr>
            <sz val="9"/>
            <rFont val="Tahoma"/>
            <family val="2"/>
          </rPr>
          <t xml:space="preserve">
       Valor diario $734x26usuariosx21diasx11meses:
          $4.408.404    
La alimentación especial no está considerado (ensure para 2 usuarios)</t>
        </r>
      </text>
    </comment>
    <comment ref="D36" authorId="2">
      <text>
        <r>
          <rPr>
            <b/>
            <sz val="9"/>
            <rFont val="Tahoma"/>
            <family val="2"/>
          </rPr>
          <t>Usuario:</t>
        </r>
        <r>
          <rPr>
            <sz val="9"/>
            <rFont val="Tahoma"/>
            <family val="2"/>
          </rPr>
          <t xml:space="preserve">
7 extintores centro y 1 bus.</t>
        </r>
      </text>
    </comment>
    <comment ref="D38" authorId="2">
      <text>
        <r>
          <rPr>
            <b/>
            <sz val="9"/>
            <rFont val="Tahoma"/>
            <family val="2"/>
          </rPr>
          <t>Usuario:</t>
        </r>
        <r>
          <rPr>
            <sz val="9"/>
            <rFont val="Tahoma"/>
            <family val="2"/>
          </rPr>
          <t xml:space="preserve">
guantes de latex, gasa, algodón, alcohol gel, mascarillas, gorros, etc. Se considera además renovación de  implementos de botiquines.
Proyección considerando gasto 2015 y 1er semestre 2016 (gasto y planificación)
</t>
        </r>
      </text>
    </comment>
    <comment ref="D56" authorId="2">
      <text>
        <r>
          <rPr>
            <b/>
            <sz val="9"/>
            <rFont val="Tahoma"/>
            <family val="2"/>
          </rPr>
          <t xml:space="preserve">Usuario:
</t>
        </r>
        <r>
          <rPr>
            <sz val="9"/>
            <rFont val="Tahoma"/>
            <family val="2"/>
          </rPr>
          <t>revisión techumbre y canaletas; mantención eléctrica preventiva,mantención gasfitería preventiva, refuerzo y reposición de cielo americano (indicación por revista sanitaria).</t>
        </r>
      </text>
    </comment>
    <comment ref="D58" authorId="2">
      <text>
        <r>
          <rPr>
            <b/>
            <sz val="9"/>
            <rFont val="Tahoma"/>
            <family val="2"/>
          </rPr>
          <t>Usuario:</t>
        </r>
        <r>
          <rPr>
            <sz val="9"/>
            <rFont val="Tahoma"/>
            <family val="2"/>
          </rPr>
          <t xml:space="preserve">
caldera</t>
        </r>
      </text>
    </comment>
    <comment ref="D88" authorId="2">
      <text>
        <r>
          <rPr>
            <b/>
            <sz val="9"/>
            <rFont val="Tahoma"/>
            <family val="2"/>
          </rPr>
          <t>Usuario:</t>
        </r>
        <r>
          <rPr>
            <sz val="9"/>
            <rFont val="Tahoma"/>
            <family val="2"/>
          </rPr>
          <t xml:space="preserve">
1 notebook para los siguientes usos:
visitas delegaciones, charlas y escuelas para padres, capacitación varias.</t>
        </r>
      </text>
    </comment>
    <comment ref="D71" authorId="2">
      <text>
        <r>
          <rPr>
            <sz val="9"/>
            <rFont val="Tahoma"/>
            <family val="2"/>
          </rPr>
          <t xml:space="preserve">Proyección de acuerdo a gasto año 2015 y programación de visitas:
Mantencion pago a jardinero, $88.889x2visitas al mes. $88.889x5meses. 
</t>
        </r>
      </text>
    </comment>
    <comment ref="D72" authorId="2">
      <text>
        <r>
          <rPr>
            <b/>
            <sz val="9"/>
            <rFont val="Tahoma"/>
            <family val="2"/>
          </rPr>
          <t>Usuario:</t>
        </r>
        <r>
          <rPr>
            <sz val="9"/>
            <rFont val="Tahoma"/>
            <family val="2"/>
          </rPr>
          <t xml:space="preserve">
buses para traslado actv. Educativa.  Arriendo de 1 bus.-</t>
        </r>
      </text>
    </comment>
    <comment ref="D19" authorId="1">
      <text>
        <r>
          <rPr>
            <sz val="8"/>
            <rFont val="Tahoma"/>
            <family val="2"/>
          </rPr>
          <t>Reunión anual de directoras.</t>
        </r>
      </text>
    </comment>
    <comment ref="D65" authorId="3">
      <text>
        <r>
          <rPr>
            <b/>
            <sz val="8"/>
            <rFont val="Tahoma"/>
            <family val="2"/>
          </rPr>
          <t>Administrador:</t>
        </r>
        <r>
          <rPr>
            <sz val="8"/>
            <rFont val="Tahoma"/>
            <family val="2"/>
          </rPr>
          <t xml:space="preserve">
Folletos, trípticos, calendarios para actividades de difusión.</t>
        </r>
      </text>
    </comment>
    <comment ref="D80" authorId="1">
      <text>
        <r>
          <rPr>
            <b/>
            <sz val="8"/>
            <rFont val="Tahoma"/>
            <family val="2"/>
          </rPr>
          <t>jgomezg:</t>
        </r>
        <r>
          <rPr>
            <sz val="8"/>
            <rFont val="Tahoma"/>
            <family val="2"/>
          </rPr>
          <t xml:space="preserve">
Corresponde a certificacion de gas.</t>
        </r>
      </text>
    </comment>
    <comment ref="D41" authorId="4">
      <text>
        <r>
          <rPr>
            <sz val="9"/>
            <rFont val="Tahoma"/>
            <family val="2"/>
          </rPr>
          <t>Datos:
Costo anual SISBIEN 2015: $2.573.043.-
Costo semestral 2016: $1.502.714.-</t>
        </r>
        <r>
          <rPr>
            <b/>
            <sz val="9"/>
            <rFont val="Tahoma"/>
            <family val="2"/>
          </rPr>
          <t xml:space="preserve">
</t>
        </r>
      </text>
    </comment>
    <comment ref="D46" authorId="4">
      <text>
        <r>
          <rPr>
            <sz val="9"/>
            <rFont val="Tahoma"/>
            <family val="2"/>
          </rPr>
          <t>2015: $ 1.877.865
1er semetre 2016: $ 1.051.311.-</t>
        </r>
      </text>
    </comment>
    <comment ref="D47" authorId="4">
      <text>
        <r>
          <rPr>
            <b/>
            <sz val="9"/>
            <rFont val="Tahoma"/>
            <family val="2"/>
          </rPr>
          <t>DATO SISBIEN:
Gasto 2015: $ 2.860.972.-
Gasto 1er semestre 2016: $ 1.135.132.-
Proyección de gasto de acuerdo 1er semestre 2016.</t>
        </r>
      </text>
    </comment>
    <comment ref="D48" authorId="4">
      <text>
        <r>
          <rPr>
            <b/>
            <sz val="9"/>
            <rFont val="Tahoma"/>
            <family val="2"/>
          </rPr>
          <t>DATO SISBIEN:
2015: $ 5.060.210.-
1er semestre 2016: $ 2.087.770.-
Proyección considerando gasto semestral 2016.-</t>
        </r>
      </text>
    </comment>
    <comment ref="D62" authorId="5">
      <text>
        <r>
          <rPr>
            <b/>
            <sz val="9"/>
            <rFont val="Tahoma"/>
            <family val="2"/>
          </rPr>
          <t>Proyección de acuerdo al gasto 1er semestre 2016.
Mantenciones y reparaciones varias (cinturones, neumáticos, repuestos varios)</t>
        </r>
      </text>
    </comment>
    <comment ref="D28" authorId="6">
      <text>
        <r>
          <rPr>
            <b/>
            <sz val="9"/>
            <rFont val="Tahoma"/>
            <family val="2"/>
          </rPr>
          <t>Maria Jose Hernandez:</t>
        </r>
        <r>
          <rPr>
            <sz val="9"/>
            <rFont val="Tahoma"/>
            <family val="2"/>
          </rPr>
          <t xml:space="preserve">
Calzado para manipuladora $30.000
</t>
        </r>
      </text>
    </comment>
    <comment ref="D26" authorId="6">
      <text>
        <r>
          <rPr>
            <b/>
            <sz val="9"/>
            <rFont val="Tahoma"/>
            <family val="2"/>
          </rPr>
          <t>Maria Jose Hernandez:</t>
        </r>
        <r>
          <rPr>
            <sz val="9"/>
            <rFont val="Tahoma"/>
            <family val="2"/>
          </rPr>
          <t xml:space="preserve">
Cortinaje/roll on para 3 box de atención: psicología, fonoaudiología y enfermería, de acuerdo a revista sanitaria.</t>
        </r>
      </text>
    </comment>
    <comment ref="D42" authorId="6">
      <text>
        <r>
          <rPr>
            <b/>
            <sz val="9"/>
            <rFont val="Tahoma"/>
            <family val="2"/>
          </rPr>
          <t>Maria Jose Hernandez:</t>
        </r>
        <r>
          <rPr>
            <sz val="9"/>
            <rFont val="Tahoma"/>
            <family val="2"/>
          </rPr>
          <t xml:space="preserve">
Según gasto real año 2015.
Valor estimativo de 1 tonner $ 93.067 (se utilizan promedio 6 tonner)
Nota: las hojas de impresora se consideraron en los gastos de utiles de escritorio.</t>
        </r>
      </text>
    </comment>
    <comment ref="D40" authorId="6">
      <text>
        <r>
          <rPr>
            <b/>
            <sz val="9"/>
            <rFont val="Tahoma"/>
            <family val="2"/>
          </rPr>
          <t>Maria Jose Hernandez:</t>
        </r>
        <r>
          <rPr>
            <sz val="9"/>
            <rFont val="Tahoma"/>
            <family val="2"/>
          </rPr>
          <t xml:space="preserve">
Costo según gasto 2015, 2016 y proyección.</t>
        </r>
      </text>
    </comment>
    <comment ref="D43" authorId="6">
      <text>
        <r>
          <rPr>
            <b/>
            <sz val="9"/>
            <rFont val="Tahoma"/>
            <family val="2"/>
          </rPr>
          <t>Maria Jose Hernandez:</t>
        </r>
        <r>
          <rPr>
            <sz val="9"/>
            <rFont val="Tahoma"/>
            <family val="2"/>
          </rPr>
          <t xml:space="preserve">
Proyección considerando gastos años 2015 y 2016.
para implementos de trabajo.</t>
        </r>
      </text>
    </comment>
    <comment ref="D78" authorId="6">
      <text>
        <r>
          <rPr>
            <b/>
            <sz val="9"/>
            <rFont val="Tahoma"/>
            <family val="2"/>
          </rPr>
          <t>Maria Jose Hernandez:</t>
        </r>
        <r>
          <rPr>
            <sz val="9"/>
            <rFont val="Tahoma"/>
            <family val="2"/>
          </rPr>
          <t xml:space="preserve">
Capacitación Empleo con Apoyo para equipo profesional.</t>
        </r>
      </text>
    </comment>
    <comment ref="D44" authorId="6">
      <text>
        <r>
          <rPr>
            <b/>
            <sz val="9"/>
            <rFont val="Tahoma"/>
            <family val="2"/>
          </rPr>
          <t>Maria Jose Hernandez:</t>
        </r>
        <r>
          <rPr>
            <sz val="9"/>
            <rFont val="Tahoma"/>
            <family val="2"/>
          </rPr>
          <t xml:space="preserve">
</t>
        </r>
      </text>
    </comment>
    <comment ref="D57" authorId="6">
      <text>
        <r>
          <rPr>
            <b/>
            <sz val="9"/>
            <rFont val="Tahoma"/>
            <family val="2"/>
          </rPr>
          <t>Maria Jose Hernandez:</t>
        </r>
        <r>
          <rPr>
            <sz val="9"/>
            <rFont val="Tahoma"/>
            <family val="2"/>
          </rPr>
          <t xml:space="preserve">
Reparación mobiliario salas e implementos kinésicos (cubiertas de camillas, colchonetas e implementos varios), de acuerdo a evaluación sanitaria.</t>
        </r>
      </text>
    </comment>
    <comment ref="D59" authorId="6">
      <text>
        <r>
          <rPr>
            <b/>
            <sz val="9"/>
            <rFont val="Tahoma"/>
            <family val="2"/>
          </rPr>
          <t>Maria Jose Hernandez:</t>
        </r>
        <r>
          <rPr>
            <sz val="9"/>
            <rFont val="Tahoma"/>
            <family val="2"/>
          </rPr>
          <t xml:space="preserve">
Mantención refrigeradores, cocina, mantenedores cocina y casa proyecto.</t>
        </r>
      </text>
    </comment>
    <comment ref="D11" authorId="6">
      <text>
        <r>
          <rPr>
            <b/>
            <sz val="9"/>
            <rFont val="Tahoma"/>
            <family val="2"/>
          </rPr>
          <t>Maria Jose Hernandez:</t>
        </r>
        <r>
          <rPr>
            <sz val="9"/>
            <rFont val="Tahoma"/>
            <family val="2"/>
          </rPr>
          <t xml:space="preserve">
Profesionales: 
2 kine 20 hrs c/u
2 TO: 20, 22 hrs.
2 Fono: 26 y 22 hrs.
2 EDI: 25 y 30 hrs.
1 PSICOLOGA: 40 hrs.
1 MANIPULADORA ALIMENTOS: 45 hrs.
Se incorpora:
1 TO: 22 hrs. $9.789.658
</t>
        </r>
      </text>
    </comment>
    <comment ref="D34" authorId="6">
      <text>
        <r>
          <rPr>
            <b/>
            <sz val="9"/>
            <rFont val="Tahoma"/>
            <family val="2"/>
          </rPr>
          <t>Maria Jose Hernandez:</t>
        </r>
        <r>
          <rPr>
            <sz val="9"/>
            <rFont val="Tahoma"/>
            <family val="2"/>
          </rPr>
          <t xml:space="preserve">
De acuerdo al gasto anual 2015 y proyección de gasto semestral 2016.-</t>
        </r>
      </text>
    </comment>
    <comment ref="D83" authorId="6">
      <text>
        <r>
          <rPr>
            <b/>
            <sz val="9"/>
            <rFont val="Tahoma"/>
            <family val="2"/>
          </rPr>
          <t>Maria Jose Hernandez:</t>
        </r>
        <r>
          <rPr>
            <sz val="9"/>
            <rFont val="Tahoma"/>
            <family val="2"/>
          </rPr>
          <t xml:space="preserve">
3 UTM
Valor UTM $45.907 año 2016
7 fofis anuales</t>
        </r>
      </text>
    </comment>
    <comment ref="D50" authorId="6">
      <text>
        <r>
          <rPr>
            <b/>
            <sz val="9"/>
            <rFont val="Tahoma"/>
            <family val="2"/>
          </rPr>
          <t>Maria Jose Hernandez:</t>
        </r>
        <r>
          <rPr>
            <sz val="9"/>
            <rFont val="Tahoma"/>
            <family val="2"/>
          </rPr>
          <t xml:space="preserve">
Proyección de acuerdo a gasto anual 2015: $188.731.-</t>
        </r>
      </text>
    </comment>
    <comment ref="D51" authorId="6">
      <text>
        <r>
          <rPr>
            <b/>
            <sz val="9"/>
            <rFont val="Tahoma"/>
            <family val="2"/>
          </rPr>
          <t>Maria Jose Hernandez:</t>
        </r>
        <r>
          <rPr>
            <sz val="9"/>
            <rFont val="Tahoma"/>
            <family val="2"/>
          </rPr>
          <t xml:space="preserve">
2 celulares: directora y conductor bus.
Proyección de acuerdo a gasto anual 2015.</t>
        </r>
      </text>
    </comment>
    <comment ref="D76" authorId="6">
      <text>
        <r>
          <rPr>
            <b/>
            <sz val="9"/>
            <rFont val="Tahoma"/>
            <family val="2"/>
          </rPr>
          <t>Maria Jose Hernandez:</t>
        </r>
        <r>
          <rPr>
            <sz val="9"/>
            <rFont val="Tahoma"/>
            <family val="2"/>
          </rPr>
          <t xml:space="preserve">
valor  año 2017: $6.400x29usuarios.</t>
        </r>
      </text>
    </comment>
    <comment ref="D30" authorId="6">
      <text>
        <r>
          <rPr>
            <b/>
            <sz val="9"/>
            <rFont val="Tahoma"/>
            <family val="2"/>
          </rPr>
          <t>Maria Jose Hernandez:</t>
        </r>
        <r>
          <rPr>
            <sz val="9"/>
            <rFont val="Tahoma"/>
            <family val="2"/>
          </rPr>
          <t xml:space="preserve">
Combustible bus. Según gasto real anual 2015.
Gasto 2015: $ 1.300.909.-</t>
        </r>
      </text>
    </comment>
    <comment ref="D37" authorId="7">
      <text>
        <r>
          <rPr>
            <b/>
            <sz val="8"/>
            <rFont val="Tahoma"/>
            <family val="2"/>
          </rPr>
          <t>Bienvalp:</t>
        </r>
        <r>
          <rPr>
            <sz val="8"/>
            <rFont val="Tahoma"/>
            <family val="2"/>
          </rPr>
          <t xml:space="preserve">
De acuerdo a gasto año 2015</t>
        </r>
      </text>
    </comment>
    <comment ref="D81" authorId="7">
      <text>
        <r>
          <rPr>
            <b/>
            <sz val="8"/>
            <rFont val="Tahoma"/>
            <family val="2"/>
          </rPr>
          <t>Bienvalp:</t>
        </r>
        <r>
          <rPr>
            <sz val="8"/>
            <rFont val="Tahoma"/>
            <family val="2"/>
          </rPr>
          <t xml:space="preserve">
Según datos año 2016</t>
        </r>
      </text>
    </comment>
    <comment ref="D14" authorId="6">
      <text>
        <r>
          <rPr>
            <b/>
            <sz val="9"/>
            <rFont val="Tahoma"/>
            <family val="2"/>
          </rPr>
          <t>Maria Jose Hernandez:</t>
        </r>
        <r>
          <rPr>
            <sz val="9"/>
            <rFont val="Tahoma"/>
            <family val="2"/>
          </rPr>
          <t xml:space="preserve">
considera bonos y aguinaldos.</t>
        </r>
      </text>
    </comment>
  </commentList>
</comments>
</file>

<file path=xl/sharedStrings.xml><?xml version="1.0" encoding="utf-8"?>
<sst xmlns="http://schemas.openxmlformats.org/spreadsheetml/2006/main" count="343" uniqueCount="270">
  <si>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</si>
  <si>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</si>
  <si>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</si>
  <si>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</si>
  <si>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</si>
  <si>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</si>
  <si>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</si>
  <si>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</si>
  <si>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</si>
  <si>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</si>
  <si>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</si>
  <si>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</si>
  <si>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Centro Beneficio</t>
  </si>
  <si>
    <t>Prestación [Unidad]</t>
  </si>
  <si>
    <t>Cálculo Ingreso</t>
  </si>
  <si>
    <t>Matrícula</t>
  </si>
  <si>
    <t>Ingresos
Matrícula</t>
  </si>
  <si>
    <t>Ingresos
Mensualidad</t>
  </si>
  <si>
    <t xml:space="preserve">Total Anual </t>
  </si>
  <si>
    <t>Tarifa [$/U]</t>
  </si>
  <si>
    <t>Unid. Anuales [Nr]</t>
  </si>
  <si>
    <t>Ingreso Anual [$]</t>
  </si>
  <si>
    <t>Jardín [Jornada Completa]</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</si>
  <si>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</si>
  <si>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</si>
  <si>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</si>
  <si>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</si>
  <si>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</si>
  <si>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</si>
  <si>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</si>
  <si>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</si>
  <si>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</si>
  <si>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</si>
  <si>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</si>
  <si>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</si>
  <si>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</si>
  <si>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</si>
  <si>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</si>
  <si>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</si>
  <si>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</si>
  <si>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</si>
  <si>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</si>
  <si>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</si>
  <si>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</si>
  <si>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</si>
  <si>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</si>
  <si>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</si>
  <si>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</si>
  <si>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</si>
  <si>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</si>
  <si>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</si>
  <si>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</si>
  <si>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</si>
  <si>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t>
  </si>
  <si>
    <t>Sueldos y Sobresueldos (Personal Estable)</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</si>
  <si>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</si>
  <si>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</si>
  <si>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</si>
  <si>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</si>
  <si>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</si>
  <si>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</si>
  <si>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</si>
  <si>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</si>
  <si>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</si>
  <si>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</si>
  <si>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</si>
  <si>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</si>
  <si>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</si>
  <si>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</si>
  <si>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</si>
  <si>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</si>
  <si>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</si>
  <si>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</si>
  <si>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Químicos (Ej.Productos para limpieza y mantención de piscinas y pozos, recarga de extintores)</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</si>
  <si>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</si>
  <si>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</si>
  <si>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</si>
  <si>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</si>
  <si>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</si>
  <si>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</si>
  <si>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</si>
  <si>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</si>
  <si>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</si>
  <si>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</si>
  <si>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</si>
  <si>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</si>
  <si>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</si>
  <si>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</si>
  <si>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Mobiliarios y Otros (Mantenimiento y reparación mobiliario habitaciones y/o cabañas)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</si>
  <si>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</si>
  <si>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</si>
  <si>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Otras Maquinarias y Equipos (Ej. Mantenciòbn de ascensor)</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</si>
  <si>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</si>
  <si>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</si>
  <si>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</si>
  <si>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</si>
  <si>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</si>
  <si>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</si>
  <si>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</si>
  <si>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</si>
  <si>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</si>
  <si>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Pasajes, Fletes y Bodegajes (Ej. Movilizaciòn, locomoción, peajes,etc)</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</si>
  <si>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</si>
  <si>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</si>
  <si>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</si>
  <si>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</si>
  <si>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</si>
  <si>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</si>
  <si>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</si>
  <si>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</si>
  <si>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</si>
  <si>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</si>
  <si>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</si>
  <si>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</si>
  <si>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</si>
  <si>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</si>
  <si>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</si>
  <si>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</si>
  <si>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</si>
  <si>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</si>
  <si>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</si>
  <si>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</si>
  <si>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</si>
  <si>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</si>
  <si>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</si>
  <si>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Personal por reemplazo (reemplazos EAC o EC no FF.PP. puesto que estos reemplazos se pagan con el sueldo del reemplazado)</t>
  </si>
  <si>
    <t xml:space="preserve">Electricidad </t>
  </si>
  <si>
    <t>Muebles para implementación de sala</t>
  </si>
  <si>
    <t>Servicio de entretención para niños</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</si>
  <si>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</si>
  <si>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</si>
  <si>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</si>
  <si>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</si>
  <si>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</si>
  <si>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</si>
  <si>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</si>
  <si>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</si>
  <si>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</si>
  <si>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</si>
  <si>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</si>
  <si>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</si>
  <si>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</si>
  <si>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</si>
  <si>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</si>
  <si>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</si>
  <si>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</si>
  <si>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</si>
  <si>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</si>
  <si>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</si>
  <si>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</si>
  <si>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</si>
  <si>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</si>
  <si>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</si>
  <si>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</si>
  <si>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</si>
  <si>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</si>
  <si>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</si>
  <si>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</si>
  <si>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</si>
  <si>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</si>
  <si>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</si>
  <si>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</si>
  <si>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BIENVALP</t>
  </si>
  <si>
    <t>Comparación Jardín Viña del Mar</t>
  </si>
  <si>
    <t>Comparación Sala Cuna Valparaíso</t>
  </si>
  <si>
    <t>Comparación Sala Cuna Viña del Mar</t>
  </si>
  <si>
    <t>EXCEDENTE ASISTENCIA</t>
  </si>
  <si>
    <t>Materiales de Apoyo Educativo/Mejoramiento</t>
  </si>
  <si>
    <t>Otros servicios técnicos y profesionales/Cuota actividades extraprogramáticas</t>
  </si>
  <si>
    <t>DALEGRÍA</t>
  </si>
  <si>
    <t>JORNADA COMPLETA</t>
  </si>
  <si>
    <t>MEDIA JORNADA</t>
  </si>
  <si>
    <t>AMBULATORIO</t>
  </si>
  <si>
    <t>TOTAL DALEGRÍA</t>
  </si>
  <si>
    <t>ING. SOC</t>
  </si>
  <si>
    <t>APOYO INSTITUCIONAL</t>
  </si>
  <si>
    <t>BONO FIN DE AÑO</t>
  </si>
  <si>
    <t>1% PROVISIÓN SOBRE EL GASTO ANUAL</t>
  </si>
  <si>
    <t>ESTA CONSIDERADO JUNTO CON TELEF FIJA</t>
  </si>
  <si>
    <t>NO TIENEN SERVICIO DE TV CABLE O SATELITAL</t>
  </si>
  <si>
    <t>NO APLICA</t>
  </si>
  <si>
    <t xml:space="preserve">   </t>
  </si>
  <si>
    <t>3) CASOS ESPECIALES</t>
  </si>
  <si>
    <t>CASO ESP.</t>
  </si>
  <si>
    <t>JORNADA COMPLETA (con alim.)</t>
  </si>
  <si>
    <t>MEDIA JORNADA (con alim.)</t>
  </si>
  <si>
    <t>COLEGIO Y CENTRO (jornada completa c/alim.)</t>
  </si>
  <si>
    <t>COLEGIO  media jornada (c/alim.)</t>
  </si>
  <si>
    <t>ENERO</t>
  </si>
  <si>
    <t>MENSUALID.</t>
  </si>
  <si>
    <t xml:space="preserve">1) PERSONAL SERVICIO ACTIVO: Oficiales/EE.CC., Otras Ramas FF.AA. </t>
  </si>
  <si>
    <t>1) PERSONAL SERVICIO ACTIVO: GM., Otras ramas FF.AA.</t>
  </si>
  <si>
    <t>ACTIVO OFICIAL</t>
  </si>
  <si>
    <t>ACTIVO GM.</t>
  </si>
  <si>
    <t>CAP MAX</t>
  </si>
  <si>
    <t>PROYECCIÓN</t>
  </si>
  <si>
    <t>INCREMENTO GRADUAL A 3 AÑOS, PARA EQUIPARAR AL 3ER AÑO.</t>
  </si>
  <si>
    <t>CENTRO</t>
  </si>
  <si>
    <t>BUS</t>
  </si>
  <si>
    <t>EXCEDENTE DALEGRÍA</t>
  </si>
  <si>
    <t>ADICIONAL 2015</t>
  </si>
  <si>
    <t>APOYO INSTITUC.</t>
  </si>
  <si>
    <t>OFICIAL</t>
  </si>
  <si>
    <t>GM</t>
  </si>
  <si>
    <t>REAJUSTE</t>
  </si>
  <si>
    <t>CASOS ESPECIALES</t>
  </si>
  <si>
    <t>CATEGORÍA ACTIVO</t>
  </si>
  <si>
    <t>J.C.</t>
  </si>
  <si>
    <t>MEDIA J.</t>
  </si>
  <si>
    <t>AÑO 2014</t>
  </si>
  <si>
    <t>AÑO 2015</t>
  </si>
  <si>
    <t>CATEGORÍA RETIRO</t>
  </si>
  <si>
    <t>VAR. $</t>
  </si>
  <si>
    <t>GM.</t>
  </si>
  <si>
    <t>PROMEDIO</t>
  </si>
  <si>
    <t>VAR. $ OF.</t>
  </si>
  <si>
    <t>VAR. $ GM.</t>
  </si>
  <si>
    <t>CATEGORÍA CASOS ESPECIALES</t>
  </si>
  <si>
    <t>TARIFA</t>
  </si>
  <si>
    <t>N°</t>
  </si>
  <si>
    <t>NO EXISTE</t>
  </si>
  <si>
    <t>CANT. NIÑOS</t>
  </si>
  <si>
    <t>2) PERSONAL EN RETIRO:                                 Oficiales/EE. CC</t>
  </si>
  <si>
    <t>2) PERSONAL EN RETIRO: GM</t>
  </si>
  <si>
    <t>RETIRO OF Y GM</t>
  </si>
  <si>
    <t>Calzado para manipuladora y personal de aseo: $36.000 c/u</t>
  </si>
  <si>
    <t>8 tonner anual y 55 resmas de papel anual.</t>
  </si>
  <si>
    <t>Trípticos, tarjetas, calendarios; material de difusión.</t>
  </si>
  <si>
    <t>Arriendo juegos inflables $ 50.000 c/u, show de entretención.</t>
  </si>
  <si>
    <t>Mantención sistema de calefacción.</t>
  </si>
  <si>
    <t>Reparación mobiliario salas e implementos kinésicos.</t>
  </si>
  <si>
    <t xml:space="preserve">Reparación refrigeradores, cocina y mantenedores cocina y casa proyecto. </t>
  </si>
  <si>
    <t>Certificación de Caldera.</t>
  </si>
  <si>
    <t>Provisión e instalación de: caldera, acumulador y bombas. $18.059.500.-</t>
  </si>
  <si>
    <t>1 notebook $ 450.000 PARA LOS TRABAJOS ESC DE PADRES, CAPACITACIONES INTERNAS Y TALLERES NTERNOS.</t>
  </si>
  <si>
    <t>Combustible bus</t>
  </si>
  <si>
    <t>FO.FI. ASIGNADO  3UTM: rendición promedio 7 anuales.</t>
  </si>
  <si>
    <t>Modalidad Escolar  media jornada (c/alim.)</t>
  </si>
  <si>
    <t>Modalidad  Escolar  Y Talleres pm  (jornada completa c/alim.)</t>
  </si>
  <si>
    <t>Programa Especial (atención ambulatoria)</t>
  </si>
  <si>
    <t>4 leccionarios $67.677; 10 cuadernos de planificación $124.987.-</t>
  </si>
  <si>
    <t>Cortinas roll-on para 3 box de atención, de acuerdo a lo solicitado por Convenio.</t>
  </si>
  <si>
    <t>1 polera para 30 personas, delantal para personal faltante 07.</t>
  </si>
  <si>
    <t>De acuerdo al gasto anual 2015 y proyección semestral 2016</t>
  </si>
  <si>
    <t>Según gasto 2015: 7 extintores centro y 1 bus.</t>
  </si>
  <si>
    <t>Según gasto 2015 y semestral 2016 (reposición por urgencia/prioridad)</t>
  </si>
  <si>
    <t>De acuerdo a gasto anual 2015 y semestral 2016.</t>
  </si>
  <si>
    <t>De acuerdo a gasto anual 2015.</t>
  </si>
  <si>
    <t>Proyección de acuerdo al gasto anual 2015 y 1er semestre 2016.</t>
  </si>
  <si>
    <t>Proyección de acuerdo al gasto del 1er semestre 2016.</t>
  </si>
  <si>
    <t>Proyección de acuerdo a gasto anual 2015.-</t>
  </si>
  <si>
    <t>2 PLANES CELULARES DE SERV: BUS Y ADMIN.  Proyección según gasto 2015.-</t>
  </si>
  <si>
    <t>Proyección de acuerdo a gasto 1er semestre 2016: reparaciones varias y mantenciones.</t>
  </si>
  <si>
    <t>Considera lavandería y fumigación, costos referenciales año 2015 y 2016.-</t>
  </si>
  <si>
    <t>Mantención área verdes, $88.889x2visitas al mes, se consideran hasta 5 visitas al año.</t>
  </si>
  <si>
    <t>Arriendo de 1 bus para actividad recreativa/terapéutica.</t>
  </si>
  <si>
    <t>Capacitación Empleo con Apoyo para equipo profesional.</t>
  </si>
  <si>
    <t>Proyección según gasto 2015 y 1er semestre 2016.</t>
  </si>
  <si>
    <t>Proyección gastos años 2015 y 2016.</t>
  </si>
  <si>
    <t>REAJUSTE CONSIDERADO 4,2%</t>
  </si>
  <si>
    <t>Considera reclutamiento.</t>
  </si>
  <si>
    <t>De acuerdo a plan de mantenimiento: revisión techumbre, canaletas, mantención eléctrica, gasfitería preventiva. Se incorpora refuerzo y reposición de cielo americano por indicación revista sanitaria.</t>
  </si>
  <si>
    <t>Valor seguro $6.400x59 usuarios.-</t>
  </si>
  <si>
    <t>viatico reunion directoras</t>
  </si>
  <si>
    <t>Programa Especial (atención ambulatoria CONVENIO DIRECSAN)KINESIOLOGIA</t>
  </si>
  <si>
    <t>Programa Especial (atención ambulatoria CONVENIO DIRECSAN)FONOAUDIOLOGIA</t>
  </si>
  <si>
    <t>Mensualidad/Prestacion</t>
  </si>
  <si>
    <t>2 kine, 3 TO, 2 Fono, 1 Psicologa, 2 EDI, 1 Manipuladora Alimentos.</t>
  </si>
  <si>
    <t>$1730x 3personasFFPPx21díasx11meses.-</t>
  </si>
  <si>
    <t>Programa Especial (atención ambulatoria CONVENIO DIRECSAN)PSICOLOGIA</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</si>
</sst>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quot;-$&quot;* #,##0.00_-;_-\$* \-??_-;_-@_-"/>
    <numFmt numFmtId="181" formatCode="_-\$* #,##0_-;&quot;-$&quot;* #,##0_-;_-\$* \-_-;_-@_-"/>
    <numFmt numFmtId="182" formatCode="\$#,##0;[Red]&quot;-$&quot;#,##0"/>
    <numFmt numFmtId="183" formatCode="\$#,##0_);[Red]&quot;($&quot;#,##0\)"/>
    <numFmt numFmtId="184" formatCode="_-* #,##0.00_-;\-* #,##0.00_-;_-* \-??_-;_-@_-"/>
    <numFmt numFmtId="185" formatCode="_-* #,##0.0_-;\-* #,##0.0_-;_-* \-??_-;_-@_-"/>
    <numFmt numFmtId="186" formatCode="_-* #,##0_-;\-* #,##0_-;_-* \-??_-;_-@_-"/>
    <numFmt numFmtId="187" formatCode="_-&quot;$&quot;* #,##0.00_-;\-&quot;$&quot;* #,##0.00_-;_-&quot;$&quot;* &quot;-&quot;??_-;_-@_-"/>
    <numFmt numFmtId="188" formatCode="#,##0_ ;[Red]\-#,##0\ "/>
    <numFmt numFmtId="189" formatCode="_-[$€]* #,##0.00_-;\-[$€]* #,##0.00_-;_-[$€]* &quot;-&quot;??_-;_-@_-"/>
    <numFmt numFmtId="190" formatCode="[$-340A]dddd\,\ dd&quot; de &quot;mmmm&quot; de &quot;yyyy"/>
    <numFmt numFmtId="191" formatCode="#,##0\ _€"/>
    <numFmt numFmtId="192" formatCode="[$$-340A]\ #,##0"/>
    <numFmt numFmtId="193" formatCode="0.000"/>
    <numFmt numFmtId="194" formatCode="0.0"/>
    <numFmt numFmtId="195" formatCode="#,##0\ &quot;€&quot;"/>
    <numFmt numFmtId="196" formatCode="0.0%"/>
    <numFmt numFmtId="197" formatCode="#,##0.00_ ;[Red]\-#,##0.00\ "/>
    <numFmt numFmtId="198" formatCode="[$$-340A]\ #,##0;[Red]\-[$$-340A]\ #,##0"/>
    <numFmt numFmtId="199" formatCode="_-\$* #,##0_-;&quot;-$&quot;* #,##0_-;_-\$* \-??_-;_-@_-"/>
  </numFmts>
  <fonts count="81">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i/>
      <sz val="10"/>
      <name val="Arial Narrow"/>
      <family val="2"/>
    </font>
    <font>
      <sz val="11"/>
      <color indexed="8"/>
      <name val="Calibri"/>
      <family val="2"/>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10"/>
      <color indexed="8"/>
      <name val="Arial"/>
      <family val="2"/>
    </font>
    <font>
      <sz val="10"/>
      <color indexed="8"/>
      <name val="Arial"/>
      <family val="2"/>
    </font>
    <font>
      <b/>
      <sz val="10"/>
      <name val="Arial"/>
      <family val="2"/>
    </font>
    <font>
      <b/>
      <sz val="10"/>
      <color indexed="10"/>
      <name val="Arial Narrow"/>
      <family val="2"/>
    </font>
    <font>
      <sz val="9"/>
      <name val="Tahoma"/>
      <family val="2"/>
    </font>
    <font>
      <b/>
      <sz val="9"/>
      <name val="Tahoma"/>
      <family val="2"/>
    </font>
    <font>
      <sz val="11"/>
      <name val="Arial Narrow"/>
      <family val="2"/>
    </font>
    <font>
      <b/>
      <sz val="11"/>
      <name val="Arial Narrow"/>
      <family val="2"/>
    </font>
    <font>
      <b/>
      <sz val="9"/>
      <name val="Arial Narrow"/>
      <family val="2"/>
    </font>
    <font>
      <b/>
      <sz val="8"/>
      <name val="Arial Narrow"/>
      <family val="2"/>
    </font>
    <font>
      <sz val="9"/>
      <name val="Arial"/>
      <family val="2"/>
    </font>
    <font>
      <b/>
      <sz val="14"/>
      <name val="Arial Narrow"/>
      <family val="2"/>
    </font>
    <font>
      <b/>
      <sz val="9"/>
      <name val="Arial"/>
      <family val="2"/>
    </font>
    <font>
      <b/>
      <sz val="10"/>
      <color indexed="30"/>
      <name val="Arial Narrow"/>
      <family val="2"/>
    </font>
    <font>
      <sz val="10"/>
      <color indexed="10"/>
      <name val="Arial"/>
      <family val="2"/>
    </font>
    <font>
      <b/>
      <sz val="10"/>
      <color indexed="30"/>
      <name val="Arial"/>
      <family val="2"/>
    </font>
    <font>
      <b/>
      <sz val="10"/>
      <color indexed="10"/>
      <name val="Arial"/>
      <family val="2"/>
    </font>
    <font>
      <sz val="11"/>
      <color indexed="8"/>
      <name val="Arial Narrow"/>
      <family val="2"/>
    </font>
    <font>
      <b/>
      <sz val="11"/>
      <color indexed="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Narrow"/>
      <family val="2"/>
    </font>
    <font>
      <b/>
      <sz val="11"/>
      <color indexed="10"/>
      <name val="Arial Narrow"/>
      <family val="2"/>
    </font>
    <font>
      <b/>
      <sz val="10"/>
      <color indexed="4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10"/>
      <color rgb="FFFF0000"/>
      <name val="Arial Narrow"/>
      <family val="2"/>
    </font>
    <font>
      <sz val="10"/>
      <color rgb="FFFF0000"/>
      <name val="Arial Narrow"/>
      <family val="2"/>
    </font>
    <font>
      <b/>
      <sz val="11"/>
      <color rgb="FFFF0000"/>
      <name val="Arial Narrow"/>
      <family val="2"/>
    </font>
    <font>
      <b/>
      <sz val="10"/>
      <color theme="3" tint="0.39998000860214233"/>
      <name val="Arial Narrow"/>
      <family val="2"/>
    </font>
    <font>
      <b/>
      <sz val="8"/>
      <name val="Arial"/>
      <family val="2"/>
    </font>
  </fonts>
  <fills count="6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58"/>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lightUp">
        <bgColor indexed="31"/>
      </patternFill>
    </fill>
    <fill>
      <patternFill patternType="lightUp">
        <fgColor indexed="55"/>
        <bgColor indexed="23"/>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9"/>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29"/>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style="thin">
        <color indexed="8"/>
      </left>
      <right style="thin">
        <color indexed="8"/>
      </right>
      <top>
        <color indexed="63"/>
      </top>
      <bottom>
        <color indexed="63"/>
      </bottom>
    </border>
    <border>
      <left style="thin"/>
      <right/>
      <top style="thin"/>
      <bottom style="thin"/>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thin">
        <color indexed="8"/>
      </left>
      <right style="medium"/>
      <top>
        <color indexed="63"/>
      </top>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style="thin"/>
      <bottom style="medium"/>
    </border>
    <border>
      <left style="medium"/>
      <right style="thin">
        <color indexed="8"/>
      </right>
      <top>
        <color indexed="63"/>
      </top>
      <bottom style="thin">
        <color indexed="8"/>
      </bottom>
    </border>
    <border>
      <left style="medium"/>
      <right style="thin">
        <color indexed="8"/>
      </right>
      <top style="medium"/>
      <bottom style="thin">
        <color indexed="8"/>
      </bottom>
    </border>
    <border>
      <left style="medium"/>
      <right style="thin">
        <color indexed="8"/>
      </right>
      <top style="thin">
        <color indexed="8"/>
      </top>
      <bottom>
        <color indexed="63"/>
      </bottom>
    </border>
    <border>
      <left style="medium"/>
      <right style="medium">
        <color indexed="8"/>
      </right>
      <top style="medium"/>
      <bottom style="medium">
        <color indexed="8"/>
      </bottom>
    </border>
    <border>
      <left style="thin">
        <color indexed="8"/>
      </left>
      <right>
        <color indexed="63"/>
      </right>
      <top style="medium"/>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medium"/>
      <right style="thin"/>
      <top style="thin"/>
      <bottom style="thin"/>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thin">
        <color indexed="8"/>
      </left>
      <right>
        <color indexed="63"/>
      </right>
      <top>
        <color indexed="63"/>
      </top>
      <bottom style="thin">
        <color indexed="8"/>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color indexed="63"/>
      </right>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style="medium"/>
      <top>
        <color indexed="63"/>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bottom>
        <color indexed="63"/>
      </bottom>
    </border>
    <border>
      <left/>
      <right style="thin"/>
      <top style="thin"/>
      <bottom style="thin"/>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color indexed="63"/>
      </left>
      <right style="medium"/>
      <top style="medium"/>
      <bottom>
        <color indexed="63"/>
      </bottom>
    </border>
    <border>
      <left>
        <color indexed="63"/>
      </left>
      <right/>
      <top style="thin"/>
      <bottom style="thin"/>
    </border>
    <border>
      <left>
        <color indexed="63"/>
      </left>
      <right style="thin"/>
      <top style="thin"/>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color indexed="63"/>
      </top>
      <bottom style="medium"/>
    </border>
    <border>
      <left style="medium">
        <color indexed="8"/>
      </left>
      <right style="thin">
        <color indexed="8"/>
      </right>
      <top style="medium"/>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style="medium">
        <color indexed="8"/>
      </right>
      <top>
        <color indexed="63"/>
      </top>
      <bottom>
        <color indexed="63"/>
      </bottom>
    </border>
    <border>
      <left style="medium"/>
      <right style="medium">
        <color indexed="8"/>
      </right>
      <top>
        <color indexed="63"/>
      </top>
      <bottom style="medium"/>
    </border>
    <border>
      <left style="medium"/>
      <right style="medium">
        <color indexed="8"/>
      </right>
      <top style="medium"/>
      <bottom>
        <color indexed="63"/>
      </bottom>
    </border>
    <border>
      <left style="medium">
        <color indexed="8"/>
      </left>
      <right style="thin">
        <color indexed="8"/>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color indexed="8"/>
      </left>
      <right>
        <color indexed="63"/>
      </right>
      <top>
        <color indexed="63"/>
      </top>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top style="thin"/>
      <bottom style="medium"/>
    </border>
    <border>
      <left/>
      <right style="medium"/>
      <top style="thin"/>
      <bottom style="medium"/>
    </border>
    <border>
      <left style="medium"/>
      <right style="medium"/>
      <top style="medium"/>
      <bottom style="thin"/>
    </border>
    <border>
      <left style="medium"/>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189"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6" fillId="30" borderId="0" applyNumberFormat="0" applyBorder="0" applyAlignment="0" applyProtection="0"/>
    <xf numFmtId="184"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42" fontId="0" fillId="0" borderId="0" applyFill="0" applyBorder="0" applyAlignment="0" applyProtection="0"/>
    <xf numFmtId="0" fontId="67" fillId="31" borderId="0" applyNumberFormat="0" applyBorder="0" applyAlignment="0" applyProtection="0"/>
    <xf numFmtId="0" fontId="12" fillId="0" borderId="0">
      <alignment/>
      <protection/>
    </xf>
    <xf numFmtId="0" fontId="0" fillId="32" borderId="4" applyNumberFormat="0" applyFont="0" applyAlignment="0" applyProtection="0"/>
    <xf numFmtId="9" fontId="0" fillId="0" borderId="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505">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81" fontId="2" fillId="33" borderId="0" xfId="51" applyNumberFormat="1" applyFont="1" applyFill="1" applyBorder="1" applyAlignment="1" applyProtection="1">
      <alignment vertical="center"/>
      <protection/>
    </xf>
    <xf numFmtId="0" fontId="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2" fillId="0" borderId="0" xfId="0" applyFont="1" applyFill="1" applyBorder="1" applyAlignment="1" applyProtection="1">
      <alignment vertical="center"/>
      <protection/>
    </xf>
    <xf numFmtId="180" fontId="2" fillId="0" borderId="0" xfId="5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1"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183" fontId="1" fillId="34" borderId="12" xfId="51" applyNumberFormat="1" applyFont="1" applyFill="1" applyBorder="1" applyAlignment="1" applyProtection="1">
      <alignment vertical="center" wrapText="1"/>
      <protection/>
    </xf>
    <xf numFmtId="0" fontId="1" fillId="0" borderId="0" xfId="0" applyFont="1" applyFill="1" applyAlignment="1" applyProtection="1">
      <alignment vertical="center"/>
      <protection/>
    </xf>
    <xf numFmtId="185" fontId="1" fillId="0" borderId="0" xfId="49" applyNumberFormat="1" applyFont="1" applyFill="1" applyBorder="1" applyAlignment="1" applyProtection="1">
      <alignment vertical="center"/>
      <protection/>
    </xf>
    <xf numFmtId="0" fontId="2" fillId="0" borderId="0" xfId="0" applyFont="1" applyAlignment="1" applyProtection="1">
      <alignment horizontal="left" vertical="center"/>
      <protection/>
    </xf>
    <xf numFmtId="0" fontId="2"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0" fontId="2" fillId="35" borderId="14" xfId="0" applyFont="1" applyFill="1" applyBorder="1" applyAlignment="1" applyProtection="1">
      <alignment horizontal="center" vertical="center" wrapText="1"/>
      <protection/>
    </xf>
    <xf numFmtId="181" fontId="4" fillId="36" borderId="15" xfId="51" applyNumberFormat="1" applyFont="1" applyFill="1" applyBorder="1" applyAlignment="1" applyProtection="1">
      <alignment vertical="center"/>
      <protection/>
    </xf>
    <xf numFmtId="181" fontId="4" fillId="35" borderId="13" xfId="51" applyNumberFormat="1" applyFont="1" applyFill="1" applyBorder="1" applyAlignment="1" applyProtection="1">
      <alignment vertical="center"/>
      <protection/>
    </xf>
    <xf numFmtId="181" fontId="4" fillId="37" borderId="13" xfId="51" applyNumberFormat="1" applyFont="1" applyFill="1" applyBorder="1" applyAlignment="1" applyProtection="1">
      <alignment vertical="center"/>
      <protection/>
    </xf>
    <xf numFmtId="184" fontId="6" fillId="0" borderId="13" xfId="49" applyFont="1" applyFill="1" applyBorder="1" applyAlignment="1" applyProtection="1">
      <alignment vertical="center"/>
      <protection locked="0"/>
    </xf>
    <xf numFmtId="184" fontId="6" fillId="0" borderId="13" xfId="49" applyFont="1" applyFill="1" applyBorder="1" applyAlignment="1" applyProtection="1">
      <alignment vertical="center"/>
      <protection/>
    </xf>
    <xf numFmtId="184" fontId="4" fillId="0" borderId="13" xfId="49" applyFont="1" applyFill="1" applyBorder="1" applyAlignment="1" applyProtection="1">
      <alignment vertical="center"/>
      <protection/>
    </xf>
    <xf numFmtId="180" fontId="1" fillId="0" borderId="0" xfId="51"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8" borderId="13" xfId="0" applyFont="1" applyFill="1" applyBorder="1" applyAlignment="1" applyProtection="1">
      <alignment vertical="center" wrapText="1"/>
      <protection/>
    </xf>
    <xf numFmtId="0" fontId="2" fillId="34" borderId="13" xfId="0" applyFont="1" applyFill="1" applyBorder="1" applyAlignment="1" applyProtection="1">
      <alignment vertical="center"/>
      <protection/>
    </xf>
    <xf numFmtId="181" fontId="1" fillId="34" borderId="13" xfId="51" applyNumberFormat="1" applyFont="1" applyFill="1" applyBorder="1" applyAlignment="1" applyProtection="1">
      <alignment vertical="center"/>
      <protection/>
    </xf>
    <xf numFmtId="0" fontId="2" fillId="34"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9" borderId="0" xfId="0" applyFont="1" applyFill="1" applyAlignment="1" applyProtection="1">
      <alignment horizontal="left" vertical="center"/>
      <protection/>
    </xf>
    <xf numFmtId="0" fontId="1" fillId="39" borderId="0" xfId="0" applyFont="1" applyFill="1" applyAlignment="1" applyProtection="1">
      <alignment vertical="center"/>
      <protection/>
    </xf>
    <xf numFmtId="0" fontId="2" fillId="39" borderId="17" xfId="0" applyFont="1" applyFill="1" applyBorder="1" applyAlignment="1" applyProtection="1">
      <alignment vertical="center"/>
      <protection/>
    </xf>
    <xf numFmtId="0" fontId="2" fillId="39" borderId="16" xfId="0" applyFont="1" applyFill="1" applyBorder="1" applyAlignment="1" applyProtection="1">
      <alignment vertical="center"/>
      <protection/>
    </xf>
    <xf numFmtId="186" fontId="2" fillId="33" borderId="13" xfId="49" applyNumberFormat="1" applyFont="1" applyFill="1" applyBorder="1" applyAlignment="1" applyProtection="1">
      <alignment horizontal="center" vertical="center"/>
      <protection locked="0"/>
    </xf>
    <xf numFmtId="0" fontId="2" fillId="39" borderId="0" xfId="0" applyFont="1" applyFill="1" applyBorder="1" applyAlignment="1" applyProtection="1">
      <alignment vertical="center"/>
      <protection/>
    </xf>
    <xf numFmtId="186" fontId="2" fillId="39" borderId="0" xfId="49" applyNumberFormat="1"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wrapText="1"/>
      <protection/>
    </xf>
    <xf numFmtId="0" fontId="1" fillId="37" borderId="17" xfId="0" applyFont="1" applyFill="1" applyBorder="1" applyAlignment="1" applyProtection="1">
      <alignment horizontal="center" vertical="center" wrapText="1"/>
      <protection/>
    </xf>
    <xf numFmtId="181" fontId="1" fillId="0" borderId="13" xfId="51" applyNumberFormat="1" applyFont="1" applyFill="1" applyBorder="1" applyAlignment="1" applyProtection="1">
      <alignment vertical="center"/>
      <protection locked="0"/>
    </xf>
    <xf numFmtId="0" fontId="1" fillId="40" borderId="14" xfId="0" applyFont="1" applyFill="1" applyBorder="1" applyAlignment="1" applyProtection="1">
      <alignment horizontal="center" vertical="center" wrapText="1"/>
      <protection/>
    </xf>
    <xf numFmtId="0" fontId="1" fillId="37" borderId="14" xfId="0" applyFont="1" applyFill="1" applyBorder="1" applyAlignment="1" applyProtection="1">
      <alignment horizontal="center" vertical="center" wrapText="1"/>
      <protection/>
    </xf>
    <xf numFmtId="0" fontId="1" fillId="34" borderId="14" xfId="0" applyFont="1" applyFill="1" applyBorder="1" applyAlignment="1" applyProtection="1">
      <alignment horizontal="center" vertical="center" wrapText="1"/>
      <protection/>
    </xf>
    <xf numFmtId="0" fontId="1" fillId="39" borderId="14" xfId="0" applyFont="1" applyFill="1" applyBorder="1" applyAlignment="1" applyProtection="1">
      <alignment horizontal="center" vertical="center" wrapText="1"/>
      <protection/>
    </xf>
    <xf numFmtId="0" fontId="1" fillId="40" borderId="13" xfId="0" applyFont="1" applyFill="1" applyBorder="1" applyAlignment="1" applyProtection="1">
      <alignment horizontal="center" vertical="center" wrapText="1"/>
      <protection/>
    </xf>
    <xf numFmtId="181" fontId="4" fillId="35" borderId="14" xfId="51" applyNumberFormat="1" applyFont="1" applyFill="1" applyBorder="1" applyAlignment="1" applyProtection="1">
      <alignment vertical="center"/>
      <protection/>
    </xf>
    <xf numFmtId="181" fontId="4" fillId="37" borderId="14" xfId="51" applyNumberFormat="1" applyFont="1" applyFill="1" applyBorder="1" applyAlignment="1" applyProtection="1">
      <alignment vertical="center"/>
      <protection/>
    </xf>
    <xf numFmtId="184" fontId="6" fillId="0" borderId="14" xfId="49" applyFont="1" applyFill="1" applyBorder="1" applyAlignment="1" applyProtection="1">
      <alignment vertical="center"/>
      <protection/>
    </xf>
    <xf numFmtId="0" fontId="4" fillId="40" borderId="14" xfId="0" applyFont="1" applyFill="1" applyBorder="1" applyAlignment="1" applyProtection="1">
      <alignment vertical="center"/>
      <protection/>
    </xf>
    <xf numFmtId="169" fontId="6" fillId="41" borderId="18" xfId="0" applyNumberFormat="1" applyFont="1" applyFill="1" applyBorder="1" applyAlignment="1">
      <alignment/>
    </xf>
    <xf numFmtId="169" fontId="6" fillId="41" borderId="19" xfId="0" applyNumberFormat="1" applyFont="1" applyFill="1" applyBorder="1" applyAlignment="1">
      <alignment/>
    </xf>
    <xf numFmtId="169" fontId="1" fillId="41" borderId="18" xfId="0" applyNumberFormat="1" applyFont="1" applyFill="1" applyBorder="1" applyAlignment="1">
      <alignment/>
    </xf>
    <xf numFmtId="169" fontId="1" fillId="41" borderId="18" xfId="0" applyNumberFormat="1" applyFont="1" applyFill="1" applyBorder="1" applyAlignment="1">
      <alignment horizontal="left"/>
    </xf>
    <xf numFmtId="169" fontId="1" fillId="41" borderId="19" xfId="0" applyNumberFormat="1" applyFont="1" applyFill="1" applyBorder="1" applyAlignment="1">
      <alignment horizontal="left"/>
    </xf>
    <xf numFmtId="181" fontId="4" fillId="36" borderId="20" xfId="51" applyNumberFormat="1" applyFont="1" applyFill="1" applyBorder="1" applyAlignment="1" applyProtection="1">
      <alignment vertical="center"/>
      <protection/>
    </xf>
    <xf numFmtId="181" fontId="4" fillId="36" borderId="21" xfId="51" applyNumberFormat="1" applyFont="1" applyFill="1" applyBorder="1" applyAlignment="1" applyProtection="1">
      <alignment vertical="center"/>
      <protection/>
    </xf>
    <xf numFmtId="181" fontId="4" fillId="37" borderId="22" xfId="51" applyNumberFormat="1" applyFont="1" applyFill="1" applyBorder="1" applyAlignment="1" applyProtection="1">
      <alignment vertical="center"/>
      <protection/>
    </xf>
    <xf numFmtId="181" fontId="4" fillId="36" borderId="23" xfId="51" applyNumberFormat="1" applyFont="1" applyFill="1" applyBorder="1" applyAlignment="1" applyProtection="1">
      <alignment vertical="center"/>
      <protection/>
    </xf>
    <xf numFmtId="181" fontId="4" fillId="37" borderId="24" xfId="51" applyNumberFormat="1" applyFont="1" applyFill="1" applyBorder="1" applyAlignment="1" applyProtection="1">
      <alignment vertical="center"/>
      <protection/>
    </xf>
    <xf numFmtId="181" fontId="1" fillId="42" borderId="25" xfId="0" applyNumberFormat="1" applyFont="1" applyFill="1" applyBorder="1" applyAlignment="1" applyProtection="1">
      <alignment vertical="center"/>
      <protection/>
    </xf>
    <xf numFmtId="181" fontId="2" fillId="42" borderId="25" xfId="0" applyNumberFormat="1" applyFont="1" applyFill="1" applyBorder="1" applyAlignment="1" applyProtection="1">
      <alignment vertical="center"/>
      <protection/>
    </xf>
    <xf numFmtId="181" fontId="2" fillId="42" borderId="26" xfId="0" applyNumberFormat="1" applyFont="1" applyFill="1" applyBorder="1" applyAlignment="1" applyProtection="1">
      <alignment vertical="center"/>
      <protection/>
    </xf>
    <xf numFmtId="185" fontId="1" fillId="43" borderId="25" xfId="49" applyNumberFormat="1" applyFont="1" applyFill="1" applyBorder="1" applyAlignment="1" applyProtection="1">
      <alignment vertical="center"/>
      <protection/>
    </xf>
    <xf numFmtId="185" fontId="4" fillId="44" borderId="15" xfId="49" applyNumberFormat="1" applyFont="1" applyFill="1" applyBorder="1" applyAlignment="1" applyProtection="1">
      <alignment vertical="center"/>
      <protection/>
    </xf>
    <xf numFmtId="185" fontId="4" fillId="44" borderId="20" xfId="49" applyNumberFormat="1" applyFont="1" applyFill="1" applyBorder="1" applyAlignment="1" applyProtection="1">
      <alignment vertical="center"/>
      <protection/>
    </xf>
    <xf numFmtId="0" fontId="4" fillId="34" borderId="27" xfId="0" applyFont="1" applyFill="1" applyBorder="1" applyAlignment="1" applyProtection="1">
      <alignment horizontal="center" vertical="center"/>
      <protection/>
    </xf>
    <xf numFmtId="0" fontId="4" fillId="35" borderId="13" xfId="0" applyFont="1" applyFill="1" applyBorder="1" applyAlignment="1" applyProtection="1">
      <alignment horizontal="center" vertical="center"/>
      <protection/>
    </xf>
    <xf numFmtId="0" fontId="4" fillId="37" borderId="13"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7" borderId="14" xfId="0" applyFont="1" applyFill="1" applyBorder="1" applyAlignment="1" applyProtection="1">
      <alignment horizontal="center" vertical="center"/>
      <protection/>
    </xf>
    <xf numFmtId="0" fontId="2" fillId="45" borderId="0" xfId="0" applyFont="1" applyFill="1"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2" fillId="46" borderId="27" xfId="0" applyFont="1" applyFill="1" applyBorder="1" applyAlignment="1" applyProtection="1">
      <alignment vertical="center"/>
      <protection/>
    </xf>
    <xf numFmtId="165" fontId="4" fillId="46" borderId="27" xfId="51" applyNumberFormat="1" applyFont="1" applyFill="1" applyBorder="1" applyAlignment="1" applyProtection="1">
      <alignment vertical="center"/>
      <protection/>
    </xf>
    <xf numFmtId="0" fontId="6" fillId="47" borderId="27" xfId="0" applyFont="1" applyFill="1" applyBorder="1" applyAlignment="1" applyProtection="1">
      <alignment vertical="center"/>
      <protection/>
    </xf>
    <xf numFmtId="165" fontId="6" fillId="0" borderId="27" xfId="51" applyNumberFormat="1" applyFont="1" applyFill="1" applyBorder="1" applyAlignment="1" applyProtection="1">
      <alignment vertical="center"/>
      <protection locked="0"/>
    </xf>
    <xf numFmtId="0" fontId="4" fillId="46" borderId="29" xfId="0" applyFont="1" applyFill="1" applyBorder="1" applyAlignment="1" applyProtection="1">
      <alignment horizontal="left" vertical="center"/>
      <protection/>
    </xf>
    <xf numFmtId="0" fontId="1" fillId="47" borderId="27" xfId="0" applyFont="1" applyFill="1" applyBorder="1" applyAlignment="1" applyProtection="1">
      <alignment vertical="center"/>
      <protection/>
    </xf>
    <xf numFmtId="165" fontId="1" fillId="0" borderId="27" xfId="51" applyNumberFormat="1" applyFont="1" applyFill="1" applyBorder="1" applyAlignment="1" applyProtection="1">
      <alignment vertical="center"/>
      <protection locked="0"/>
    </xf>
    <xf numFmtId="169" fontId="1" fillId="47" borderId="29" xfId="0" applyNumberFormat="1" applyFont="1" applyFill="1" applyBorder="1" applyAlignment="1">
      <alignment horizontal="left"/>
    </xf>
    <xf numFmtId="181" fontId="6" fillId="40" borderId="14" xfId="51" applyNumberFormat="1" applyFont="1" applyFill="1" applyBorder="1" applyAlignment="1" applyProtection="1">
      <alignment vertical="center"/>
      <protection/>
    </xf>
    <xf numFmtId="0" fontId="6" fillId="33" borderId="0" xfId="0" applyFont="1" applyFill="1" applyBorder="1" applyAlignment="1" applyProtection="1">
      <alignment vertical="center"/>
      <protection/>
    </xf>
    <xf numFmtId="181" fontId="6" fillId="33" borderId="0" xfId="51" applyNumberFormat="1" applyFont="1" applyFill="1" applyBorder="1" applyAlignment="1" applyProtection="1">
      <alignment vertical="center"/>
      <protection locked="0"/>
    </xf>
    <xf numFmtId="0" fontId="1" fillId="45" borderId="0" xfId="0" applyFont="1" applyFill="1" applyBorder="1" applyAlignment="1" applyProtection="1">
      <alignment vertical="center"/>
      <protection/>
    </xf>
    <xf numFmtId="169" fontId="6" fillId="47" borderId="27" xfId="0" applyNumberFormat="1" applyFont="1" applyFill="1" applyBorder="1" applyAlignment="1">
      <alignment/>
    </xf>
    <xf numFmtId="0" fontId="2" fillId="34" borderId="13" xfId="0" applyFont="1" applyFill="1" applyBorder="1" applyAlignment="1" applyProtection="1">
      <alignment horizontal="center" vertical="center" wrapText="1"/>
      <protection/>
    </xf>
    <xf numFmtId="0" fontId="1" fillId="39" borderId="17" xfId="0" applyFont="1" applyFill="1" applyBorder="1" applyAlignment="1" applyProtection="1">
      <alignment vertical="center" wrapText="1"/>
      <protection/>
    </xf>
    <xf numFmtId="183" fontId="1" fillId="39" borderId="30" xfId="51" applyNumberFormat="1" applyFont="1" applyFill="1" applyBorder="1" applyAlignment="1" applyProtection="1">
      <alignment vertical="center"/>
      <protection/>
    </xf>
    <xf numFmtId="1" fontId="1" fillId="0" borderId="27" xfId="51" applyNumberFormat="1" applyFont="1" applyFill="1" applyBorder="1" applyAlignment="1" applyProtection="1">
      <alignment vertical="center"/>
      <protection locked="0"/>
    </xf>
    <xf numFmtId="3" fontId="1" fillId="48" borderId="31" xfId="51" applyNumberFormat="1" applyFont="1" applyFill="1" applyBorder="1" applyAlignment="1" applyProtection="1">
      <alignment vertical="center"/>
      <protection/>
    </xf>
    <xf numFmtId="3" fontId="1" fillId="48" borderId="27" xfId="51" applyNumberFormat="1" applyFont="1" applyFill="1" applyBorder="1" applyAlignment="1" applyProtection="1">
      <alignment vertical="center"/>
      <protection/>
    </xf>
    <xf numFmtId="183" fontId="1" fillId="48" borderId="27" xfId="51" applyNumberFormat="1" applyFont="1" applyFill="1" applyBorder="1" applyAlignment="1" applyProtection="1">
      <alignment vertical="center"/>
      <protection/>
    </xf>
    <xf numFmtId="182" fontId="1" fillId="0" borderId="32" xfId="51" applyNumberFormat="1" applyFont="1" applyFill="1" applyBorder="1" applyAlignment="1" applyProtection="1">
      <alignment vertical="center"/>
      <protection locked="0"/>
    </xf>
    <xf numFmtId="183" fontId="1" fillId="48" borderId="32" xfId="51" applyNumberFormat="1" applyFont="1" applyFill="1" applyBorder="1" applyAlignment="1" applyProtection="1">
      <alignment vertical="center"/>
      <protection/>
    </xf>
    <xf numFmtId="183" fontId="1" fillId="48" borderId="33" xfId="51" applyNumberFormat="1" applyFont="1" applyFill="1" applyBorder="1" applyAlignment="1" applyProtection="1">
      <alignment vertical="center"/>
      <protection/>
    </xf>
    <xf numFmtId="183" fontId="1" fillId="48" borderId="34" xfId="51" applyNumberFormat="1" applyFont="1" applyFill="1" applyBorder="1" applyAlignment="1" applyProtection="1">
      <alignment vertical="center"/>
      <protection/>
    </xf>
    <xf numFmtId="183" fontId="1" fillId="39" borderId="35" xfId="51" applyNumberFormat="1" applyFont="1" applyFill="1" applyBorder="1" applyAlignment="1" applyProtection="1">
      <alignment vertical="center"/>
      <protection/>
    </xf>
    <xf numFmtId="183" fontId="1" fillId="34" borderId="36" xfId="51" applyNumberFormat="1" applyFont="1" applyFill="1" applyBorder="1" applyAlignment="1" applyProtection="1">
      <alignment vertical="center" wrapText="1"/>
      <protection/>
    </xf>
    <xf numFmtId="3" fontId="1" fillId="48" borderId="37" xfId="51" applyNumberFormat="1" applyFont="1" applyFill="1" applyBorder="1" applyAlignment="1" applyProtection="1">
      <alignment vertical="center"/>
      <protection/>
    </xf>
    <xf numFmtId="3" fontId="1" fillId="48" borderId="34" xfId="51" applyNumberFormat="1" applyFont="1" applyFill="1" applyBorder="1" applyAlignment="1" applyProtection="1">
      <alignment vertical="center"/>
      <protection/>
    </xf>
    <xf numFmtId="0" fontId="1" fillId="34" borderId="13" xfId="0" applyFont="1" applyFill="1" applyBorder="1" applyAlignment="1" applyProtection="1">
      <alignment horizontal="right" vertical="center" wrapText="1"/>
      <protection/>
    </xf>
    <xf numFmtId="0" fontId="0" fillId="37" borderId="13" xfId="0" applyFont="1" applyFill="1" applyBorder="1" applyAlignment="1" applyProtection="1">
      <alignment horizontal="center"/>
      <protection/>
    </xf>
    <xf numFmtId="0" fontId="1" fillId="34" borderId="10" xfId="0" applyFont="1" applyFill="1" applyBorder="1" applyAlignment="1" applyProtection="1">
      <alignment vertical="center" wrapText="1"/>
      <protection/>
    </xf>
    <xf numFmtId="0" fontId="2" fillId="34" borderId="38" xfId="0" applyFont="1" applyFill="1" applyBorder="1" applyAlignment="1" applyProtection="1">
      <alignment vertical="center" wrapText="1"/>
      <protection/>
    </xf>
    <xf numFmtId="0" fontId="1" fillId="34" borderId="39" xfId="0" applyFont="1" applyFill="1" applyBorder="1" applyAlignment="1" applyProtection="1">
      <alignment vertical="center" wrapText="1"/>
      <protection/>
    </xf>
    <xf numFmtId="181" fontId="1" fillId="34" borderId="39" xfId="51" applyNumberFormat="1" applyFont="1" applyFill="1" applyBorder="1" applyAlignment="1" applyProtection="1">
      <alignment vertical="center"/>
      <protection/>
    </xf>
    <xf numFmtId="181" fontId="1" fillId="34" borderId="40" xfId="51" applyNumberFormat="1" applyFont="1" applyFill="1" applyBorder="1" applyAlignment="1" applyProtection="1">
      <alignment vertical="center"/>
      <protection/>
    </xf>
    <xf numFmtId="0" fontId="2" fillId="34" borderId="41" xfId="0" applyFont="1" applyFill="1" applyBorder="1" applyAlignment="1" applyProtection="1">
      <alignment vertical="center" wrapText="1"/>
      <protection/>
    </xf>
    <xf numFmtId="0" fontId="1" fillId="33" borderId="39" xfId="0" applyFont="1" applyFill="1" applyBorder="1" applyAlignment="1" applyProtection="1">
      <alignment vertical="center" wrapText="1"/>
      <protection/>
    </xf>
    <xf numFmtId="181" fontId="1" fillId="33" borderId="42" xfId="51" applyNumberFormat="1" applyFont="1" applyFill="1" applyBorder="1" applyAlignment="1" applyProtection="1">
      <alignment vertical="center"/>
      <protection/>
    </xf>
    <xf numFmtId="181" fontId="1" fillId="33" borderId="15" xfId="51" applyNumberFormat="1" applyFont="1" applyFill="1" applyBorder="1" applyAlignment="1" applyProtection="1">
      <alignment vertical="center"/>
      <protection/>
    </xf>
    <xf numFmtId="181" fontId="1" fillId="34" borderId="14" xfId="51" applyNumberFormat="1" applyFont="1" applyFill="1" applyBorder="1" applyAlignment="1" applyProtection="1">
      <alignment vertical="center"/>
      <protection/>
    </xf>
    <xf numFmtId="0" fontId="1" fillId="33" borderId="27" xfId="0" applyFont="1" applyFill="1" applyBorder="1" applyAlignment="1" applyProtection="1">
      <alignment vertical="center" wrapText="1"/>
      <protection/>
    </xf>
    <xf numFmtId="181" fontId="1" fillId="33" borderId="27" xfId="51" applyNumberFormat="1" applyFont="1" applyFill="1" applyBorder="1" applyAlignment="1" applyProtection="1">
      <alignment vertical="center"/>
      <protection/>
    </xf>
    <xf numFmtId="0" fontId="11" fillId="33" borderId="27" xfId="0" applyFont="1" applyFill="1" applyBorder="1" applyAlignment="1" applyProtection="1">
      <alignment vertical="center" wrapText="1"/>
      <protection/>
    </xf>
    <xf numFmtId="0" fontId="1" fillId="34" borderId="27" xfId="0" applyFont="1" applyFill="1" applyBorder="1" applyAlignment="1" applyProtection="1">
      <alignment vertical="center" wrapText="1"/>
      <protection/>
    </xf>
    <xf numFmtId="181" fontId="1" fillId="0" borderId="16" xfId="51" applyNumberFormat="1" applyFont="1" applyFill="1" applyBorder="1" applyAlignment="1" applyProtection="1">
      <alignment vertical="center"/>
      <protection locked="0"/>
    </xf>
    <xf numFmtId="0" fontId="11" fillId="33" borderId="27" xfId="0" applyFont="1" applyFill="1" applyBorder="1" applyAlignment="1" applyProtection="1">
      <alignment horizontal="left" vertical="center" wrapText="1"/>
      <protection/>
    </xf>
    <xf numFmtId="0" fontId="1" fillId="0" borderId="27" xfId="0" applyFont="1" applyFill="1" applyBorder="1" applyAlignment="1" applyProtection="1">
      <alignment vertical="center"/>
      <protection locked="0"/>
    </xf>
    <xf numFmtId="181" fontId="1" fillId="49" borderId="13" xfId="51" applyNumberFormat="1" applyFont="1" applyFill="1" applyBorder="1" applyAlignment="1" applyProtection="1">
      <alignment vertical="center"/>
      <protection/>
    </xf>
    <xf numFmtId="181" fontId="19" fillId="35" borderId="43" xfId="51" applyNumberFormat="1" applyFont="1" applyFill="1" applyBorder="1" applyAlignment="1" applyProtection="1">
      <alignment vertical="center"/>
      <protection/>
    </xf>
    <xf numFmtId="181" fontId="20" fillId="42" borderId="44" xfId="0" applyNumberFormat="1" applyFont="1" applyFill="1" applyBorder="1" applyAlignment="1" applyProtection="1">
      <alignment vertical="center"/>
      <protection/>
    </xf>
    <xf numFmtId="181" fontId="18" fillId="36" borderId="45" xfId="51" applyNumberFormat="1" applyFont="1" applyFill="1" applyBorder="1" applyAlignment="1" applyProtection="1">
      <alignment vertical="center"/>
      <protection/>
    </xf>
    <xf numFmtId="181" fontId="18" fillId="36" borderId="46" xfId="51" applyNumberFormat="1" applyFont="1" applyFill="1" applyBorder="1" applyAlignment="1" applyProtection="1">
      <alignment vertical="center"/>
      <protection/>
    </xf>
    <xf numFmtId="181" fontId="19" fillId="35" borderId="47" xfId="51" applyNumberFormat="1" applyFont="1" applyFill="1" applyBorder="1" applyAlignment="1" applyProtection="1">
      <alignment vertical="center"/>
      <protection/>
    </xf>
    <xf numFmtId="181" fontId="18" fillId="35" borderId="43" xfId="51" applyNumberFormat="1" applyFont="1" applyFill="1" applyBorder="1" applyAlignment="1" applyProtection="1">
      <alignment vertical="center"/>
      <protection/>
    </xf>
    <xf numFmtId="42" fontId="0" fillId="50" borderId="29" xfId="54" applyNumberFormat="1" applyFont="1" applyFill="1" applyBorder="1">
      <alignment/>
      <protection/>
    </xf>
    <xf numFmtId="42" fontId="19" fillId="35" borderId="43" xfId="51" applyNumberFormat="1" applyFont="1" applyFill="1" applyBorder="1" applyAlignment="1" applyProtection="1">
      <alignment vertical="center"/>
      <protection/>
    </xf>
    <xf numFmtId="42" fontId="0" fillId="50" borderId="27" xfId="54" applyNumberFormat="1" applyFont="1" applyFill="1" applyBorder="1" applyAlignment="1">
      <alignment horizontal="right"/>
      <protection/>
    </xf>
    <xf numFmtId="42" fontId="18" fillId="35" borderId="43" xfId="51" applyNumberFormat="1" applyFont="1" applyFill="1" applyBorder="1" applyAlignment="1" applyProtection="1">
      <alignment horizontal="right" vertical="center"/>
      <protection/>
    </xf>
    <xf numFmtId="181" fontId="18" fillId="35" borderId="47" xfId="51" applyNumberFormat="1" applyFont="1" applyFill="1" applyBorder="1" applyAlignment="1" applyProtection="1">
      <alignment vertical="center"/>
      <protection/>
    </xf>
    <xf numFmtId="42" fontId="19" fillId="35" borderId="43" xfId="51" applyNumberFormat="1" applyFont="1" applyFill="1" applyBorder="1" applyAlignment="1" applyProtection="1">
      <alignment horizontal="right" vertical="center"/>
      <protection/>
    </xf>
    <xf numFmtId="0" fontId="2" fillId="51" borderId="48" xfId="0" applyFont="1" applyFill="1" applyBorder="1" applyAlignment="1" applyProtection="1">
      <alignment horizontal="center" vertical="center" wrapText="1"/>
      <protection/>
    </xf>
    <xf numFmtId="3" fontId="2" fillId="0" borderId="0" xfId="0" applyNumberFormat="1" applyFont="1" applyFill="1" applyAlignment="1" applyProtection="1">
      <alignment vertical="center"/>
      <protection/>
    </xf>
    <xf numFmtId="192" fontId="0" fillId="52" borderId="27" xfId="0" applyNumberFormat="1" applyFill="1" applyBorder="1" applyAlignment="1" applyProtection="1">
      <alignment vertical="center"/>
      <protection/>
    </xf>
    <xf numFmtId="3" fontId="2" fillId="0" borderId="0" xfId="51" applyNumberFormat="1" applyFont="1" applyFill="1" applyBorder="1" applyAlignment="1" applyProtection="1">
      <alignment vertical="center"/>
      <protection/>
    </xf>
    <xf numFmtId="0" fontId="1" fillId="39" borderId="49" xfId="0" applyFont="1" applyFill="1" applyBorder="1" applyAlignment="1" applyProtection="1">
      <alignment vertical="center" wrapText="1"/>
      <protection/>
    </xf>
    <xf numFmtId="0" fontId="1" fillId="39" borderId="50" xfId="0" applyFont="1" applyFill="1" applyBorder="1" applyAlignment="1" applyProtection="1">
      <alignment vertical="center" wrapText="1"/>
      <protection/>
    </xf>
    <xf numFmtId="0" fontId="2" fillId="34" borderId="51" xfId="0" applyFont="1" applyFill="1" applyBorder="1" applyAlignment="1" applyProtection="1">
      <alignment vertical="center" wrapText="1"/>
      <protection/>
    </xf>
    <xf numFmtId="183" fontId="1" fillId="34" borderId="52" xfId="51"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82" fontId="1" fillId="0" borderId="33" xfId="51" applyNumberFormat="1" applyFont="1" applyFill="1" applyBorder="1" applyAlignment="1" applyProtection="1">
      <alignment vertical="center"/>
      <protection locked="0"/>
    </xf>
    <xf numFmtId="1" fontId="1" fillId="0" borderId="53" xfId="51" applyNumberFormat="1" applyFont="1" applyFill="1" applyBorder="1" applyAlignment="1" applyProtection="1">
      <alignment vertical="center"/>
      <protection locked="0"/>
    </xf>
    <xf numFmtId="1" fontId="1" fillId="0" borderId="34" xfId="51" applyNumberFormat="1" applyFont="1" applyFill="1" applyBorder="1" applyAlignment="1" applyProtection="1">
      <alignment vertical="center"/>
      <protection locked="0"/>
    </xf>
    <xf numFmtId="183" fontId="1" fillId="39" borderId="35" xfId="0" applyNumberFormat="1" applyFont="1" applyFill="1" applyBorder="1" applyAlignment="1" applyProtection="1">
      <alignment vertical="center"/>
      <protection/>
    </xf>
    <xf numFmtId="183" fontId="1" fillId="34" borderId="54" xfId="51" applyNumberFormat="1" applyFont="1" applyFill="1" applyBorder="1" applyAlignment="1" applyProtection="1">
      <alignment vertical="center" wrapText="1"/>
      <protection/>
    </xf>
    <xf numFmtId="183" fontId="1" fillId="34" borderId="55" xfId="51" applyNumberFormat="1" applyFont="1" applyFill="1" applyBorder="1" applyAlignment="1" applyProtection="1">
      <alignment vertical="center" wrapText="1"/>
      <protection/>
    </xf>
    <xf numFmtId="0" fontId="2" fillId="40" borderId="27" xfId="0" applyFont="1" applyFill="1" applyBorder="1" applyAlignment="1" applyProtection="1">
      <alignment horizontal="center" vertical="center" wrapText="1"/>
      <protection/>
    </xf>
    <xf numFmtId="183" fontId="1" fillId="39" borderId="27" xfId="51" applyNumberFormat="1" applyFont="1" applyFill="1" applyBorder="1" applyAlignment="1" applyProtection="1">
      <alignment vertical="center"/>
      <protection/>
    </xf>
    <xf numFmtId="183" fontId="1" fillId="39" borderId="53" xfId="51" applyNumberFormat="1" applyFont="1" applyFill="1" applyBorder="1" applyAlignment="1" applyProtection="1">
      <alignment vertical="center"/>
      <protection/>
    </xf>
    <xf numFmtId="183" fontId="1" fillId="39" borderId="34" xfId="0" applyNumberFormat="1" applyFont="1" applyFill="1" applyBorder="1" applyAlignment="1" applyProtection="1">
      <alignment vertical="center"/>
      <protection/>
    </xf>
    <xf numFmtId="183" fontId="1" fillId="34" borderId="44" xfId="51" applyNumberFormat="1" applyFont="1" applyFill="1" applyBorder="1" applyAlignment="1" applyProtection="1">
      <alignment vertical="center" wrapText="1"/>
      <protection/>
    </xf>
    <xf numFmtId="183" fontId="1" fillId="34" borderId="25" xfId="51" applyNumberFormat="1" applyFont="1" applyFill="1" applyBorder="1" applyAlignment="1" applyProtection="1">
      <alignment vertical="center" wrapText="1"/>
      <protection/>
    </xf>
    <xf numFmtId="183" fontId="1" fillId="34" borderId="26" xfId="51" applyNumberFormat="1" applyFont="1" applyFill="1" applyBorder="1" applyAlignment="1" applyProtection="1">
      <alignment vertical="center" wrapText="1"/>
      <protection/>
    </xf>
    <xf numFmtId="3" fontId="1" fillId="0" borderId="33" xfId="51" applyNumberFormat="1" applyFont="1" applyFill="1" applyBorder="1" applyAlignment="1" applyProtection="1">
      <alignment vertical="center"/>
      <protection locked="0"/>
    </xf>
    <xf numFmtId="0" fontId="1" fillId="39" borderId="56" xfId="0" applyFont="1" applyFill="1" applyBorder="1" applyAlignment="1" applyProtection="1">
      <alignment vertical="center" wrapText="1"/>
      <protection/>
    </xf>
    <xf numFmtId="182" fontId="1" fillId="0" borderId="57" xfId="51" applyNumberFormat="1" applyFont="1" applyFill="1" applyBorder="1" applyAlignment="1" applyProtection="1">
      <alignment vertical="center"/>
      <protection locked="0"/>
    </xf>
    <xf numFmtId="182" fontId="1" fillId="0" borderId="58" xfId="51" applyNumberFormat="1" applyFont="1" applyFill="1" applyBorder="1" applyAlignment="1" applyProtection="1">
      <alignment vertical="center"/>
      <protection locked="0"/>
    </xf>
    <xf numFmtId="182" fontId="1" fillId="0" borderId="59" xfId="51" applyNumberFormat="1" applyFont="1" applyFill="1" applyBorder="1" applyAlignment="1" applyProtection="1">
      <alignment vertical="center"/>
      <protection locked="0"/>
    </xf>
    <xf numFmtId="182" fontId="1" fillId="0" borderId="28" xfId="51" applyNumberFormat="1" applyFont="1" applyFill="1" applyBorder="1" applyAlignment="1" applyProtection="1">
      <alignment vertical="center"/>
      <protection locked="0"/>
    </xf>
    <xf numFmtId="182" fontId="1" fillId="0" borderId="60" xfId="51" applyNumberFormat="1" applyFont="1" applyFill="1" applyBorder="1" applyAlignment="1" applyProtection="1">
      <alignment vertical="center"/>
      <protection locked="0"/>
    </xf>
    <xf numFmtId="182" fontId="1" fillId="0" borderId="61" xfId="51" applyNumberFormat="1" applyFont="1" applyFill="1" applyBorder="1" applyAlignment="1" applyProtection="1">
      <alignment vertical="center"/>
      <protection locked="0"/>
    </xf>
    <xf numFmtId="182" fontId="1" fillId="0" borderId="62" xfId="51" applyNumberFormat="1" applyFont="1" applyFill="1" applyBorder="1" applyAlignment="1" applyProtection="1">
      <alignment vertical="center"/>
      <protection locked="0"/>
    </xf>
    <xf numFmtId="0" fontId="1" fillId="39" borderId="63" xfId="0" applyFont="1" applyFill="1" applyBorder="1" applyAlignment="1" applyProtection="1">
      <alignment vertical="center" wrapText="1"/>
      <protection/>
    </xf>
    <xf numFmtId="183" fontId="1" fillId="39" borderId="44" xfId="51" applyNumberFormat="1" applyFont="1" applyFill="1" applyBorder="1" applyAlignment="1" applyProtection="1">
      <alignment vertical="center"/>
      <protection/>
    </xf>
    <xf numFmtId="183" fontId="1" fillId="39" borderId="25" xfId="51" applyNumberFormat="1" applyFont="1" applyFill="1" applyBorder="1" applyAlignment="1" applyProtection="1">
      <alignment vertical="center"/>
      <protection/>
    </xf>
    <xf numFmtId="183" fontId="1" fillId="39" borderId="26" xfId="0" applyNumberFormat="1" applyFont="1" applyFill="1" applyBorder="1" applyAlignment="1" applyProtection="1">
      <alignment vertical="center"/>
      <protection/>
    </xf>
    <xf numFmtId="183" fontId="1" fillId="39" borderId="64" xfId="51" applyNumberFormat="1" applyFont="1" applyFill="1" applyBorder="1" applyAlignment="1" applyProtection="1">
      <alignment vertical="center"/>
      <protection/>
    </xf>
    <xf numFmtId="183" fontId="1" fillId="39" borderId="65" xfId="51" applyNumberFormat="1" applyFont="1" applyFill="1" applyBorder="1" applyAlignment="1" applyProtection="1">
      <alignment vertical="center"/>
      <protection/>
    </xf>
    <xf numFmtId="182" fontId="1" fillId="0" borderId="66" xfId="51" applyNumberFormat="1" applyFont="1" applyFill="1" applyBorder="1" applyAlignment="1" applyProtection="1">
      <alignment vertical="center"/>
      <protection locked="0"/>
    </xf>
    <xf numFmtId="183" fontId="1" fillId="39" borderId="65" xfId="0" applyNumberFormat="1" applyFont="1" applyFill="1" applyBorder="1" applyAlignment="1" applyProtection="1">
      <alignment vertical="center"/>
      <protection/>
    </xf>
    <xf numFmtId="0" fontId="1" fillId="39" borderId="67" xfId="0" applyFont="1" applyFill="1" applyBorder="1" applyAlignment="1" applyProtection="1">
      <alignment vertical="center" wrapText="1"/>
      <protection/>
    </xf>
    <xf numFmtId="183" fontId="1" fillId="39" borderId="68" xfId="51" applyNumberFormat="1" applyFont="1" applyFill="1" applyBorder="1" applyAlignment="1" applyProtection="1">
      <alignment vertical="center"/>
      <protection/>
    </xf>
    <xf numFmtId="183" fontId="1" fillId="39" borderId="69" xfId="51" applyNumberFormat="1" applyFont="1" applyFill="1" applyBorder="1" applyAlignment="1" applyProtection="1">
      <alignment vertical="center"/>
      <protection/>
    </xf>
    <xf numFmtId="183" fontId="1" fillId="39" borderId="70" xfId="0" applyNumberFormat="1" applyFont="1" applyFill="1" applyBorder="1" applyAlignment="1" applyProtection="1">
      <alignment vertical="center"/>
      <protection/>
    </xf>
    <xf numFmtId="183" fontId="1" fillId="39" borderId="28" xfId="51" applyNumberFormat="1" applyFont="1" applyFill="1" applyBorder="1" applyAlignment="1" applyProtection="1">
      <alignment vertical="center"/>
      <protection/>
    </xf>
    <xf numFmtId="183" fontId="1" fillId="39" borderId="66" xfId="0" applyNumberFormat="1" applyFont="1" applyFill="1" applyBorder="1" applyAlignment="1" applyProtection="1">
      <alignment vertical="center"/>
      <protection/>
    </xf>
    <xf numFmtId="188" fontId="24" fillId="0" borderId="0" xfId="0" applyNumberFormat="1" applyFont="1" applyAlignment="1" applyProtection="1">
      <alignment vertical="center"/>
      <protection/>
    </xf>
    <xf numFmtId="188" fontId="24" fillId="0" borderId="0" xfId="0" applyNumberFormat="1" applyFont="1" applyFill="1" applyAlignment="1" applyProtection="1">
      <alignment vertical="center"/>
      <protection/>
    </xf>
    <xf numFmtId="188" fontId="25" fillId="0" borderId="0" xfId="0" applyNumberFormat="1" applyFont="1" applyAlignment="1" applyProtection="1">
      <alignment vertical="center"/>
      <protection/>
    </xf>
    <xf numFmtId="42" fontId="2" fillId="0" borderId="0" xfId="51" applyNumberFormat="1" applyFont="1" applyFill="1" applyBorder="1" applyAlignment="1" applyProtection="1">
      <alignment vertical="center"/>
      <protection/>
    </xf>
    <xf numFmtId="1" fontId="2" fillId="34" borderId="71" xfId="0" applyNumberFormat="1" applyFont="1" applyFill="1" applyBorder="1" applyAlignment="1" applyProtection="1">
      <alignment horizontal="center" vertical="center" wrapText="1"/>
      <protection/>
    </xf>
    <xf numFmtId="3" fontId="1" fillId="53" borderId="72" xfId="51" applyNumberFormat="1" applyFont="1" applyFill="1" applyBorder="1" applyAlignment="1" applyProtection="1">
      <alignment vertical="center"/>
      <protection/>
    </xf>
    <xf numFmtId="3" fontId="1" fillId="53" borderId="73" xfId="51" applyNumberFormat="1" applyFont="1" applyFill="1" applyBorder="1" applyAlignment="1" applyProtection="1">
      <alignment vertical="center"/>
      <protection/>
    </xf>
    <xf numFmtId="3" fontId="1" fillId="53" borderId="42" xfId="51" applyNumberFormat="1" applyFont="1" applyFill="1" applyBorder="1" applyAlignment="1" applyProtection="1">
      <alignment vertical="center"/>
      <protection/>
    </xf>
    <xf numFmtId="3" fontId="1" fillId="53" borderId="74" xfId="51" applyNumberFormat="1" applyFont="1" applyFill="1" applyBorder="1" applyAlignment="1" applyProtection="1">
      <alignment vertical="center"/>
      <protection/>
    </xf>
    <xf numFmtId="0" fontId="2" fillId="37" borderId="75"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0" fontId="2" fillId="50" borderId="27" xfId="0" applyFont="1" applyFill="1" applyBorder="1" applyAlignment="1" applyProtection="1">
      <alignment horizontal="center" vertical="center"/>
      <protection/>
    </xf>
    <xf numFmtId="0" fontId="27" fillId="0" borderId="0" xfId="0" applyFont="1" applyFill="1" applyAlignment="1" applyProtection="1">
      <alignment vertical="center"/>
      <protection/>
    </xf>
    <xf numFmtId="180" fontId="27" fillId="0" borderId="0" xfId="51" applyFont="1" applyFill="1" applyBorder="1" applyAlignment="1" applyProtection="1">
      <alignment horizontal="center" vertical="center"/>
      <protection/>
    </xf>
    <xf numFmtId="0" fontId="1" fillId="54" borderId="0" xfId="0" applyFont="1" applyFill="1" applyAlignment="1" applyProtection="1">
      <alignment vertical="center"/>
      <protection/>
    </xf>
    <xf numFmtId="9" fontId="0" fillId="54" borderId="0" xfId="56" applyFill="1" applyAlignment="1" applyProtection="1">
      <alignment vertical="center"/>
      <protection/>
    </xf>
    <xf numFmtId="0" fontId="31" fillId="0" borderId="0" xfId="0" applyFont="1" applyAlignment="1" applyProtection="1">
      <alignment vertical="center"/>
      <protection/>
    </xf>
    <xf numFmtId="0" fontId="28" fillId="55" borderId="60" xfId="0" applyFont="1" applyFill="1" applyBorder="1" applyAlignment="1" applyProtection="1">
      <alignment/>
      <protection/>
    </xf>
    <xf numFmtId="42" fontId="21" fillId="55" borderId="62" xfId="0" applyNumberFormat="1" applyFont="1" applyFill="1" applyBorder="1" applyAlignment="1" applyProtection="1">
      <alignment vertical="center"/>
      <protection/>
    </xf>
    <xf numFmtId="0" fontId="28" fillId="56" borderId="53" xfId="0" applyFont="1" applyFill="1" applyBorder="1" applyAlignment="1" applyProtection="1">
      <alignment/>
      <protection/>
    </xf>
    <xf numFmtId="42" fontId="21" fillId="55" borderId="34" xfId="0" applyNumberFormat="1" applyFont="1" applyFill="1" applyBorder="1" applyAlignment="1" applyProtection="1">
      <alignment vertical="center"/>
      <protection/>
    </xf>
    <xf numFmtId="0" fontId="26" fillId="55" borderId="44" xfId="0" applyFont="1" applyFill="1" applyBorder="1" applyAlignment="1" applyProtection="1">
      <alignment vertical="center"/>
      <protection/>
    </xf>
    <xf numFmtId="42" fontId="21" fillId="41" borderId="26" xfId="0" applyNumberFormat="1" applyFont="1" applyFill="1" applyBorder="1" applyAlignment="1" applyProtection="1">
      <alignment vertical="center"/>
      <protection/>
    </xf>
    <xf numFmtId="0" fontId="5" fillId="38" borderId="14" xfId="0" applyFont="1" applyFill="1" applyBorder="1" applyAlignment="1" applyProtection="1">
      <alignment horizontal="center" vertical="center"/>
      <protection/>
    </xf>
    <xf numFmtId="192" fontId="21" fillId="41" borderId="27" xfId="0" applyNumberFormat="1" applyFont="1" applyFill="1" applyBorder="1" applyAlignment="1" applyProtection="1">
      <alignment vertical="center"/>
      <protection/>
    </xf>
    <xf numFmtId="192" fontId="32" fillId="52" borderId="27" xfId="0" applyNumberFormat="1" applyFont="1" applyFill="1" applyBorder="1" applyAlignment="1" applyProtection="1">
      <alignment vertical="center"/>
      <protection/>
    </xf>
    <xf numFmtId="188" fontId="0" fillId="45" borderId="76" xfId="0" applyNumberFormat="1" applyFont="1" applyFill="1" applyBorder="1" applyAlignment="1" applyProtection="1">
      <alignment horizontal="right" vertical="center" wrapText="1"/>
      <protection/>
    </xf>
    <xf numFmtId="198" fontId="0" fillId="45" borderId="76" xfId="0" applyNumberFormat="1" applyFont="1" applyFill="1" applyBorder="1" applyAlignment="1" applyProtection="1">
      <alignment horizontal="right" vertical="center" wrapText="1"/>
      <protection/>
    </xf>
    <xf numFmtId="188" fontId="0" fillId="45" borderId="77" xfId="0" applyNumberFormat="1" applyFont="1" applyFill="1" applyBorder="1" applyAlignment="1" applyProtection="1">
      <alignment horizontal="right" vertical="center" wrapText="1"/>
      <protection/>
    </xf>
    <xf numFmtId="198" fontId="0" fillId="45" borderId="77" xfId="0" applyNumberFormat="1" applyFont="1" applyFill="1" applyBorder="1" applyAlignment="1" applyProtection="1">
      <alignment horizontal="right" vertical="center" wrapText="1"/>
      <protection/>
    </xf>
    <xf numFmtId="188" fontId="0" fillId="45" borderId="78" xfId="0" applyNumberFormat="1" applyFont="1" applyFill="1" applyBorder="1" applyAlignment="1" applyProtection="1">
      <alignment horizontal="right" vertical="center" wrapText="1"/>
      <protection/>
    </xf>
    <xf numFmtId="188" fontId="0" fillId="45" borderId="79" xfId="0" applyNumberFormat="1" applyFont="1" applyFill="1" applyBorder="1" applyAlignment="1" applyProtection="1">
      <alignment horizontal="center" vertical="center" wrapText="1"/>
      <protection/>
    </xf>
    <xf numFmtId="188" fontId="0" fillId="45" borderId="80" xfId="0" applyNumberFormat="1" applyFont="1" applyFill="1" applyBorder="1" applyAlignment="1" applyProtection="1">
      <alignment horizontal="center" vertical="center" wrapText="1"/>
      <protection/>
    </xf>
    <xf numFmtId="188" fontId="0" fillId="45" borderId="81" xfId="0" applyNumberFormat="1" applyFont="1" applyFill="1" applyBorder="1" applyAlignment="1" applyProtection="1">
      <alignment horizontal="center" vertical="center" wrapText="1"/>
      <protection/>
    </xf>
    <xf numFmtId="0" fontId="0" fillId="45" borderId="0" xfId="0" applyFill="1" applyAlignment="1">
      <alignment/>
    </xf>
    <xf numFmtId="0" fontId="2" fillId="57" borderId="0" xfId="0" applyFont="1" applyFill="1" applyBorder="1" applyAlignment="1" applyProtection="1">
      <alignment horizontal="center" vertical="center" wrapText="1"/>
      <protection/>
    </xf>
    <xf numFmtId="188" fontId="0" fillId="45" borderId="0" xfId="0" applyNumberFormat="1" applyFont="1" applyFill="1" applyBorder="1" applyAlignment="1" applyProtection="1">
      <alignment horizontal="center" vertical="center" wrapText="1"/>
      <protection/>
    </xf>
    <xf numFmtId="0" fontId="0" fillId="45" borderId="0" xfId="0" applyFill="1" applyBorder="1" applyAlignment="1">
      <alignment horizontal="center" vertical="center"/>
    </xf>
    <xf numFmtId="0" fontId="0" fillId="45" borderId="0" xfId="0" applyFill="1" applyBorder="1" applyAlignment="1">
      <alignment/>
    </xf>
    <xf numFmtId="0" fontId="20" fillId="45" borderId="0" xfId="0" applyFont="1" applyFill="1" applyBorder="1" applyAlignment="1">
      <alignment/>
    </xf>
    <xf numFmtId="0" fontId="2" fillId="33" borderId="0" xfId="0" applyFont="1" applyFill="1" applyBorder="1" applyAlignment="1" applyProtection="1">
      <alignment horizontal="center" vertical="center"/>
      <protection/>
    </xf>
    <xf numFmtId="199" fontId="0" fillId="45" borderId="82" xfId="51" applyNumberFormat="1" applyFill="1" applyBorder="1" applyAlignment="1" applyProtection="1">
      <alignment horizontal="right" vertical="center" wrapText="1"/>
      <protection/>
    </xf>
    <xf numFmtId="0" fontId="2" fillId="55" borderId="83" xfId="0" applyFont="1" applyFill="1" applyBorder="1" applyAlignment="1" applyProtection="1">
      <alignment horizontal="center" vertical="center" wrapText="1"/>
      <protection/>
    </xf>
    <xf numFmtId="0" fontId="2" fillId="58" borderId="83" xfId="0" applyFont="1" applyFill="1" applyBorder="1" applyAlignment="1" applyProtection="1">
      <alignment horizontal="center" vertical="center" wrapText="1"/>
      <protection/>
    </xf>
    <xf numFmtId="0" fontId="2" fillId="58" borderId="76" xfId="0" applyFont="1" applyFill="1" applyBorder="1" applyAlignment="1" applyProtection="1">
      <alignment horizontal="center" vertical="center" wrapText="1"/>
      <protection/>
    </xf>
    <xf numFmtId="0" fontId="2" fillId="58" borderId="79" xfId="0" applyFont="1" applyFill="1" applyBorder="1" applyAlignment="1" applyProtection="1">
      <alignment horizontal="center" vertical="center" wrapText="1"/>
      <protection/>
    </xf>
    <xf numFmtId="0" fontId="0" fillId="0" borderId="0" xfId="0" applyFill="1" applyBorder="1" applyAlignment="1">
      <alignment/>
    </xf>
    <xf numFmtId="0" fontId="30" fillId="41" borderId="27" xfId="0" applyFont="1" applyFill="1" applyBorder="1" applyAlignment="1">
      <alignment/>
    </xf>
    <xf numFmtId="0" fontId="26" fillId="41" borderId="27" xfId="0" applyFont="1" applyFill="1" applyBorder="1" applyAlignment="1" applyProtection="1">
      <alignment horizontal="center" vertical="center"/>
      <protection/>
    </xf>
    <xf numFmtId="0" fontId="26" fillId="33" borderId="27" xfId="0" applyFont="1" applyFill="1" applyBorder="1" applyAlignment="1" applyProtection="1">
      <alignment horizontal="center" vertical="center"/>
      <protection/>
    </xf>
    <xf numFmtId="0" fontId="30" fillId="41" borderId="27" xfId="0" applyFont="1" applyFill="1" applyBorder="1" applyAlignment="1">
      <alignment horizontal="center" vertical="center"/>
    </xf>
    <xf numFmtId="188" fontId="0" fillId="45" borderId="0" xfId="0" applyNumberFormat="1" applyFont="1" applyFill="1" applyBorder="1" applyAlignment="1" applyProtection="1">
      <alignment horizontal="right" vertical="center" wrapText="1"/>
      <protection/>
    </xf>
    <xf numFmtId="0" fontId="20" fillId="41" borderId="83" xfId="0" applyFont="1" applyFill="1" applyBorder="1" applyAlignment="1">
      <alignment horizontal="center" vertical="center" wrapText="1"/>
    </xf>
    <xf numFmtId="0" fontId="20" fillId="55" borderId="18" xfId="0" applyFont="1" applyFill="1" applyBorder="1" applyAlignment="1">
      <alignment horizontal="center"/>
    </xf>
    <xf numFmtId="0" fontId="20" fillId="55" borderId="34" xfId="0" applyFont="1" applyFill="1" applyBorder="1" applyAlignment="1">
      <alignment horizontal="center"/>
    </xf>
    <xf numFmtId="0" fontId="20" fillId="55" borderId="29" xfId="0" applyFont="1" applyFill="1" applyBorder="1" applyAlignment="1">
      <alignment horizontal="center"/>
    </xf>
    <xf numFmtId="0" fontId="20" fillId="55" borderId="27" xfId="0" applyFont="1" applyFill="1" applyBorder="1" applyAlignment="1">
      <alignment horizontal="center"/>
    </xf>
    <xf numFmtId="188" fontId="0" fillId="45" borderId="84" xfId="0" applyNumberFormat="1" applyFont="1" applyFill="1" applyBorder="1" applyAlignment="1" applyProtection="1">
      <alignment horizontal="right" vertical="center" wrapText="1"/>
      <protection/>
    </xf>
    <xf numFmtId="188" fontId="0" fillId="45" borderId="41" xfId="0" applyNumberFormat="1" applyFont="1" applyFill="1" applyBorder="1" applyAlignment="1" applyProtection="1">
      <alignment horizontal="right" vertical="center" wrapText="1"/>
      <protection/>
    </xf>
    <xf numFmtId="199" fontId="0" fillId="45" borderId="85" xfId="51" applyNumberFormat="1" applyFill="1" applyBorder="1" applyAlignment="1" applyProtection="1">
      <alignment horizontal="right" vertical="center" wrapText="1"/>
      <protection/>
    </xf>
    <xf numFmtId="199" fontId="0" fillId="45" borderId="70" xfId="51" applyNumberFormat="1" applyFill="1" applyBorder="1" applyAlignment="1" applyProtection="1">
      <alignment horizontal="right" vertical="center" wrapText="1"/>
      <protection/>
    </xf>
    <xf numFmtId="0" fontId="2" fillId="0" borderId="0" xfId="0" applyFont="1" applyFill="1" applyBorder="1" applyAlignment="1" applyProtection="1">
      <alignment horizontal="center" vertical="center" wrapText="1"/>
      <protection/>
    </xf>
    <xf numFmtId="0" fontId="20" fillId="55" borderId="69" xfId="0" applyFont="1" applyFill="1" applyBorder="1" applyAlignment="1">
      <alignment horizontal="center"/>
    </xf>
    <xf numFmtId="199" fontId="0" fillId="45" borderId="69" xfId="51" applyNumberFormat="1" applyFill="1" applyBorder="1" applyAlignment="1" applyProtection="1">
      <alignment horizontal="right" vertical="center" wrapText="1"/>
      <protection/>
    </xf>
    <xf numFmtId="198" fontId="0" fillId="45" borderId="41" xfId="0" applyNumberFormat="1" applyFont="1" applyFill="1" applyBorder="1" applyAlignment="1" applyProtection="1">
      <alignment horizontal="right" vertical="center" wrapText="1"/>
      <protection/>
    </xf>
    <xf numFmtId="198" fontId="0" fillId="45" borderId="58" xfId="0" applyNumberFormat="1" applyFont="1" applyFill="1" applyBorder="1" applyAlignment="1" applyProtection="1">
      <alignment horizontal="right" vertical="center" wrapText="1"/>
      <protection/>
    </xf>
    <xf numFmtId="199" fontId="33" fillId="45" borderId="86" xfId="51" applyNumberFormat="1" applyFont="1" applyFill="1" applyBorder="1" applyAlignment="1" applyProtection="1">
      <alignment horizontal="right" vertical="center" wrapText="1"/>
      <protection/>
    </xf>
    <xf numFmtId="198" fontId="34" fillId="45" borderId="87" xfId="0" applyNumberFormat="1" applyFont="1" applyFill="1" applyBorder="1" applyAlignment="1" applyProtection="1">
      <alignment horizontal="right" vertical="center" wrapText="1"/>
      <protection/>
    </xf>
    <xf numFmtId="198" fontId="34" fillId="45" borderId="88" xfId="0" applyNumberFormat="1" applyFont="1" applyFill="1" applyBorder="1" applyAlignment="1" applyProtection="1">
      <alignment horizontal="right" vertical="center" wrapText="1"/>
      <protection/>
    </xf>
    <xf numFmtId="188" fontId="0" fillId="45" borderId="87" xfId="0" applyNumberFormat="1" applyFont="1" applyFill="1" applyBorder="1" applyAlignment="1" applyProtection="1">
      <alignment horizontal="right" vertical="center" wrapText="1"/>
      <protection/>
    </xf>
    <xf numFmtId="188" fontId="0" fillId="45" borderId="89" xfId="0" applyNumberFormat="1" applyFont="1" applyFill="1" applyBorder="1" applyAlignment="1" applyProtection="1">
      <alignment horizontal="center" vertical="center" wrapText="1"/>
      <protection/>
    </xf>
    <xf numFmtId="199" fontId="33" fillId="45" borderId="90" xfId="51" applyNumberFormat="1" applyFont="1" applyFill="1" applyBorder="1" applyAlignment="1" applyProtection="1">
      <alignment horizontal="right" vertical="center" wrapText="1"/>
      <protection/>
    </xf>
    <xf numFmtId="198" fontId="34" fillId="45" borderId="0" xfId="0" applyNumberFormat="1" applyFont="1" applyFill="1" applyBorder="1" applyAlignment="1" applyProtection="1">
      <alignment horizontal="right" vertical="center" wrapText="1"/>
      <protection/>
    </xf>
    <xf numFmtId="198" fontId="34" fillId="45" borderId="91" xfId="0" applyNumberFormat="1" applyFont="1" applyFill="1" applyBorder="1" applyAlignment="1" applyProtection="1">
      <alignment horizontal="right" vertical="center" wrapText="1"/>
      <protection/>
    </xf>
    <xf numFmtId="188" fontId="34" fillId="45" borderId="0" xfId="0" applyNumberFormat="1" applyFont="1" applyFill="1" applyBorder="1" applyAlignment="1" applyProtection="1">
      <alignment horizontal="right" vertical="center" wrapText="1"/>
      <protection/>
    </xf>
    <xf numFmtId="188" fontId="34" fillId="45" borderId="92" xfId="0" applyNumberFormat="1" applyFont="1" applyFill="1" applyBorder="1" applyAlignment="1" applyProtection="1">
      <alignment horizontal="center" vertical="center" wrapText="1"/>
      <protection/>
    </xf>
    <xf numFmtId="199" fontId="0" fillId="45" borderId="68" xfId="51" applyNumberFormat="1" applyFill="1" applyBorder="1" applyAlignment="1" applyProtection="1">
      <alignment horizontal="right" vertical="center" wrapText="1"/>
      <protection/>
    </xf>
    <xf numFmtId="198" fontId="0" fillId="45" borderId="93" xfId="0" applyNumberFormat="1" applyFont="1" applyFill="1" applyBorder="1" applyAlignment="1" applyProtection="1">
      <alignment horizontal="right" vertical="center" wrapText="1"/>
      <protection/>
    </xf>
    <xf numFmtId="198" fontId="0" fillId="45" borderId="57" xfId="0" applyNumberFormat="1" applyFont="1" applyFill="1" applyBorder="1" applyAlignment="1" applyProtection="1">
      <alignment horizontal="right" vertical="center" wrapText="1"/>
      <protection/>
    </xf>
    <xf numFmtId="188" fontId="0" fillId="45" borderId="93" xfId="0" applyNumberFormat="1" applyFont="1" applyFill="1" applyBorder="1" applyAlignment="1" applyProtection="1">
      <alignment horizontal="right" vertical="center" wrapText="1"/>
      <protection/>
    </xf>
    <xf numFmtId="188" fontId="0" fillId="45" borderId="94" xfId="0" applyNumberFormat="1" applyFont="1" applyFill="1" applyBorder="1" applyAlignment="1" applyProtection="1">
      <alignment horizontal="center" vertical="center" wrapText="1"/>
      <protection/>
    </xf>
    <xf numFmtId="188" fontId="0" fillId="45" borderId="95" xfId="0" applyNumberFormat="1" applyFont="1" applyFill="1" applyBorder="1" applyAlignment="1" applyProtection="1">
      <alignment horizontal="center" vertical="center" wrapText="1"/>
      <protection/>
    </xf>
    <xf numFmtId="199" fontId="34" fillId="45" borderId="58" xfId="51" applyNumberFormat="1" applyFont="1" applyFill="1" applyBorder="1" applyAlignment="1" applyProtection="1">
      <alignment horizontal="right" vertical="center" wrapText="1"/>
      <protection/>
    </xf>
    <xf numFmtId="199" fontId="34" fillId="45" borderId="69" xfId="51" applyNumberFormat="1" applyFont="1" applyFill="1" applyBorder="1" applyAlignment="1" applyProtection="1">
      <alignment horizontal="right" vertical="center" wrapText="1"/>
      <protection/>
    </xf>
    <xf numFmtId="199" fontId="34" fillId="45" borderId="41" xfId="51" applyNumberFormat="1" applyFont="1" applyFill="1" applyBorder="1" applyAlignment="1" applyProtection="1">
      <alignment horizontal="right" vertical="center" wrapText="1"/>
      <protection/>
    </xf>
    <xf numFmtId="199" fontId="34" fillId="45" borderId="82" xfId="51" applyNumberFormat="1" applyFont="1" applyFill="1" applyBorder="1" applyAlignment="1" applyProtection="1">
      <alignment horizontal="right" vertical="center" wrapText="1"/>
      <protection/>
    </xf>
    <xf numFmtId="199" fontId="34" fillId="45" borderId="78" xfId="51" applyNumberFormat="1" applyFont="1" applyFill="1" applyBorder="1" applyAlignment="1" applyProtection="1">
      <alignment horizontal="right" vertical="center" wrapText="1"/>
      <protection/>
    </xf>
    <xf numFmtId="199" fontId="34" fillId="45" borderId="84" xfId="51" applyNumberFormat="1" applyFont="1" applyFill="1" applyBorder="1" applyAlignment="1" applyProtection="1">
      <alignment horizontal="right" vertical="center" wrapText="1"/>
      <protection/>
    </xf>
    <xf numFmtId="199" fontId="0" fillId="45" borderId="76" xfId="51" applyNumberFormat="1" applyFill="1" applyBorder="1" applyAlignment="1" applyProtection="1">
      <alignment horizontal="right" vertical="center" wrapText="1"/>
      <protection/>
    </xf>
    <xf numFmtId="199" fontId="0" fillId="45" borderId="96" xfId="51" applyNumberFormat="1" applyFill="1" applyBorder="1" applyAlignment="1" applyProtection="1">
      <alignment horizontal="right" vertical="center" wrapText="1"/>
      <protection/>
    </xf>
    <xf numFmtId="199" fontId="0" fillId="45" borderId="77" xfId="51" applyNumberFormat="1" applyFill="1" applyBorder="1" applyAlignment="1" applyProtection="1">
      <alignment horizontal="right" vertical="center" wrapText="1"/>
      <protection/>
    </xf>
    <xf numFmtId="199" fontId="0" fillId="45" borderId="59" xfId="51" applyNumberFormat="1" applyFill="1" applyBorder="1" applyAlignment="1" applyProtection="1">
      <alignment horizontal="right" vertical="center" wrapText="1"/>
      <protection/>
    </xf>
    <xf numFmtId="0" fontId="20" fillId="55" borderId="68" xfId="0" applyFont="1" applyFill="1" applyBorder="1" applyAlignment="1">
      <alignment horizontal="center"/>
    </xf>
    <xf numFmtId="0" fontId="20" fillId="55" borderId="70" xfId="0" applyFont="1" applyFill="1" applyBorder="1" applyAlignment="1">
      <alignment horizontal="center"/>
    </xf>
    <xf numFmtId="199" fontId="33" fillId="45" borderId="70" xfId="51" applyNumberFormat="1" applyFont="1" applyFill="1" applyBorder="1" applyAlignment="1" applyProtection="1">
      <alignment horizontal="right" vertical="center" wrapText="1"/>
      <protection/>
    </xf>
    <xf numFmtId="199" fontId="33" fillId="45" borderId="96" xfId="51" applyNumberFormat="1" applyFont="1" applyFill="1" applyBorder="1" applyAlignment="1" applyProtection="1">
      <alignment horizontal="right" vertical="center" wrapText="1"/>
      <protection/>
    </xf>
    <xf numFmtId="199" fontId="33" fillId="45" borderId="59" xfId="51" applyNumberFormat="1" applyFont="1" applyFill="1" applyBorder="1" applyAlignment="1" applyProtection="1">
      <alignment horizontal="right" vertical="center" wrapText="1"/>
      <protection/>
    </xf>
    <xf numFmtId="198" fontId="0" fillId="45" borderId="94" xfId="0" applyNumberFormat="1" applyFont="1" applyFill="1" applyBorder="1" applyAlignment="1" applyProtection="1">
      <alignment horizontal="right" vertical="center" wrapText="1"/>
      <protection/>
    </xf>
    <xf numFmtId="199" fontId="34" fillId="45" borderId="95" xfId="51" applyNumberFormat="1" applyFont="1" applyFill="1" applyBorder="1" applyAlignment="1" applyProtection="1">
      <alignment horizontal="right" vertical="center" wrapText="1"/>
      <protection/>
    </xf>
    <xf numFmtId="199" fontId="33" fillId="45" borderId="80" xfId="51" applyNumberFormat="1" applyFont="1" applyFill="1" applyBorder="1" applyAlignment="1" applyProtection="1">
      <alignment horizontal="right" vertical="center" wrapText="1"/>
      <protection/>
    </xf>
    <xf numFmtId="0" fontId="28" fillId="45" borderId="0" xfId="0" applyFont="1" applyFill="1" applyBorder="1" applyAlignment="1">
      <alignment horizontal="center" vertical="center"/>
    </xf>
    <xf numFmtId="0" fontId="2" fillId="55" borderId="76" xfId="0" applyFont="1" applyFill="1" applyBorder="1" applyAlignment="1" applyProtection="1">
      <alignment horizontal="center" vertical="center" wrapText="1"/>
      <protection/>
    </xf>
    <xf numFmtId="0" fontId="2" fillId="55" borderId="85" xfId="0" applyFont="1" applyFill="1" applyBorder="1" applyAlignment="1" applyProtection="1">
      <alignment horizontal="center" vertical="center" wrapText="1"/>
      <protection/>
    </xf>
    <xf numFmtId="0" fontId="2" fillId="55" borderId="79" xfId="0" applyFont="1" applyFill="1" applyBorder="1" applyAlignment="1" applyProtection="1">
      <alignment horizontal="center" vertical="center" wrapText="1"/>
      <protection/>
    </xf>
    <xf numFmtId="188" fontId="20" fillId="41" borderId="97" xfId="0" applyNumberFormat="1" applyFont="1" applyFill="1" applyBorder="1" applyAlignment="1" applyProtection="1">
      <alignment horizontal="center" vertical="center" wrapText="1"/>
      <protection/>
    </xf>
    <xf numFmtId="199" fontId="0" fillId="45" borderId="98" xfId="51" applyNumberFormat="1" applyFill="1" applyBorder="1" applyAlignment="1">
      <alignment/>
    </xf>
    <xf numFmtId="0" fontId="0" fillId="45" borderId="99" xfId="0" applyFill="1" applyBorder="1" applyAlignment="1">
      <alignment/>
    </xf>
    <xf numFmtId="0" fontId="0" fillId="45" borderId="100" xfId="0" applyFill="1" applyBorder="1" applyAlignment="1">
      <alignment/>
    </xf>
    <xf numFmtId="199" fontId="0" fillId="45" borderId="101" xfId="51" applyNumberFormat="1" applyFill="1" applyBorder="1" applyAlignment="1">
      <alignment/>
    </xf>
    <xf numFmtId="0" fontId="0" fillId="45" borderId="102" xfId="0" applyFill="1" applyBorder="1" applyAlignment="1">
      <alignment/>
    </xf>
    <xf numFmtId="0" fontId="2" fillId="55" borderId="0" xfId="0" applyFont="1" applyFill="1" applyBorder="1" applyAlignment="1" applyProtection="1">
      <alignment horizontal="center" vertical="center" wrapText="1"/>
      <protection/>
    </xf>
    <xf numFmtId="0" fontId="2" fillId="55" borderId="103" xfId="0" applyFont="1" applyFill="1" applyBorder="1" applyAlignment="1" applyProtection="1">
      <alignment horizontal="center" vertical="center" wrapText="1"/>
      <protection/>
    </xf>
    <xf numFmtId="0" fontId="2" fillId="55" borderId="89" xfId="0" applyFont="1" applyFill="1" applyBorder="1" applyAlignment="1" applyProtection="1">
      <alignment horizontal="center" vertical="center" wrapText="1"/>
      <protection/>
    </xf>
    <xf numFmtId="0" fontId="20" fillId="41" borderId="76" xfId="0" applyFont="1" applyFill="1" applyBorder="1" applyAlignment="1">
      <alignment horizontal="center" vertical="center" wrapText="1"/>
    </xf>
    <xf numFmtId="0" fontId="2" fillId="59" borderId="83" xfId="0" applyFont="1" applyFill="1" applyBorder="1" applyAlignment="1" applyProtection="1">
      <alignment horizontal="center" vertical="center" wrapText="1"/>
      <protection/>
    </xf>
    <xf numFmtId="0" fontId="2" fillId="59" borderId="76" xfId="0" applyFont="1" applyFill="1" applyBorder="1" applyAlignment="1" applyProtection="1">
      <alignment horizontal="center" vertical="center" wrapText="1"/>
      <protection/>
    </xf>
    <xf numFmtId="0" fontId="2" fillId="59" borderId="79" xfId="0" applyFont="1" applyFill="1" applyBorder="1" applyAlignment="1" applyProtection="1">
      <alignment horizontal="center" vertical="center" wrapText="1"/>
      <protection/>
    </xf>
    <xf numFmtId="0" fontId="2" fillId="58" borderId="103" xfId="0" applyFont="1" applyFill="1" applyBorder="1" applyAlignment="1" applyProtection="1">
      <alignment horizontal="center" vertical="center" wrapText="1"/>
      <protection/>
    </xf>
    <xf numFmtId="0" fontId="2" fillId="58" borderId="89" xfId="0" applyFont="1" applyFill="1" applyBorder="1" applyAlignment="1" applyProtection="1">
      <alignment horizontal="center" vertical="center" wrapText="1"/>
      <protection/>
    </xf>
    <xf numFmtId="0" fontId="20" fillId="55" borderId="104" xfId="0" applyFont="1" applyFill="1" applyBorder="1" applyAlignment="1">
      <alignment horizontal="center"/>
    </xf>
    <xf numFmtId="199" fontId="0" fillId="45" borderId="90" xfId="51" applyNumberFormat="1" applyFill="1" applyBorder="1" applyAlignment="1" applyProtection="1">
      <alignment horizontal="right" vertical="center" wrapText="1"/>
      <protection/>
    </xf>
    <xf numFmtId="188" fontId="0" fillId="45" borderId="92" xfId="0" applyNumberFormat="1" applyFont="1" applyFill="1" applyBorder="1" applyAlignment="1" applyProtection="1">
      <alignment horizontal="center" vertical="center" wrapText="1"/>
      <protection/>
    </xf>
    <xf numFmtId="199" fontId="0" fillId="45" borderId="0" xfId="51" applyNumberFormat="1" applyFill="1" applyBorder="1" applyAlignment="1" applyProtection="1">
      <alignment horizontal="right" vertical="center" wrapText="1"/>
      <protection/>
    </xf>
    <xf numFmtId="199" fontId="0" fillId="45" borderId="91" xfId="51" applyNumberFormat="1" applyFill="1" applyBorder="1" applyAlignment="1" applyProtection="1">
      <alignment horizontal="right" vertical="center" wrapText="1"/>
      <protection/>
    </xf>
    <xf numFmtId="0" fontId="20" fillId="41" borderId="73" xfId="0" applyFont="1" applyFill="1" applyBorder="1" applyAlignment="1">
      <alignment horizontal="center" vertical="center" wrapText="1"/>
    </xf>
    <xf numFmtId="0" fontId="20" fillId="41" borderId="105" xfId="0" applyFont="1" applyFill="1" applyBorder="1" applyAlignment="1">
      <alignment horizontal="center" vertical="center" wrapText="1"/>
    </xf>
    <xf numFmtId="0" fontId="2" fillId="55" borderId="82" xfId="0" applyFont="1" applyFill="1" applyBorder="1" applyAlignment="1" applyProtection="1">
      <alignment horizontal="center" vertical="center" wrapText="1"/>
      <protection/>
    </xf>
    <xf numFmtId="0" fontId="2" fillId="55" borderId="78" xfId="0" applyFont="1" applyFill="1" applyBorder="1" applyAlignment="1" applyProtection="1">
      <alignment horizontal="center" vertical="center" wrapText="1"/>
      <protection/>
    </xf>
    <xf numFmtId="0" fontId="2" fillId="55" borderId="84" xfId="0" applyFont="1" applyFill="1" applyBorder="1" applyAlignment="1" applyProtection="1">
      <alignment horizontal="center" vertical="center" wrapText="1"/>
      <protection/>
    </xf>
    <xf numFmtId="0" fontId="2" fillId="55" borderId="68" xfId="0" applyFont="1" applyFill="1" applyBorder="1" applyAlignment="1" applyProtection="1">
      <alignment horizontal="center" vertical="center" wrapText="1"/>
      <protection/>
    </xf>
    <xf numFmtId="0" fontId="2" fillId="55" borderId="93" xfId="0" applyFont="1" applyFill="1" applyBorder="1" applyAlignment="1" applyProtection="1">
      <alignment horizontal="center" vertical="center" wrapText="1"/>
      <protection/>
    </xf>
    <xf numFmtId="0" fontId="2" fillId="55" borderId="57" xfId="0"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182" fontId="1" fillId="45" borderId="58" xfId="51" applyNumberFormat="1" applyFont="1" applyFill="1" applyBorder="1" applyAlignment="1" applyProtection="1">
      <alignment vertical="center"/>
      <protection locked="0"/>
    </xf>
    <xf numFmtId="0" fontId="26" fillId="40" borderId="44" xfId="0" applyFont="1" applyFill="1" applyBorder="1" applyAlignment="1" applyProtection="1">
      <alignment horizontal="center" vertical="center" wrapText="1"/>
      <protection/>
    </xf>
    <xf numFmtId="0" fontId="26" fillId="40" borderId="25" xfId="0" applyFont="1" applyFill="1" applyBorder="1" applyAlignment="1" applyProtection="1">
      <alignment horizontal="center" vertical="center" wrapText="1"/>
      <protection/>
    </xf>
    <xf numFmtId="0" fontId="2" fillId="40" borderId="26" xfId="0" applyFont="1" applyFill="1" applyBorder="1" applyAlignment="1" applyProtection="1">
      <alignment horizontal="center" vertical="center" wrapText="1"/>
      <protection/>
    </xf>
    <xf numFmtId="0" fontId="2" fillId="40" borderId="106" xfId="0" applyFont="1" applyFill="1" applyBorder="1" applyAlignment="1" applyProtection="1">
      <alignment vertical="center"/>
      <protection/>
    </xf>
    <xf numFmtId="0" fontId="2" fillId="40" borderId="107" xfId="0" applyFont="1" applyFill="1" applyBorder="1" applyAlignment="1" applyProtection="1">
      <alignment vertical="center"/>
      <protection/>
    </xf>
    <xf numFmtId="0" fontId="2" fillId="40" borderId="61" xfId="0" applyFont="1" applyFill="1" applyBorder="1" applyAlignment="1" applyProtection="1">
      <alignment horizontal="center" vertical="center" wrapText="1"/>
      <protection/>
    </xf>
    <xf numFmtId="0" fontId="2" fillId="40" borderId="61" xfId="0" applyFont="1" applyFill="1" applyBorder="1" applyAlignment="1" applyProtection="1">
      <alignment horizontal="center" vertical="center"/>
      <protection/>
    </xf>
    <xf numFmtId="0" fontId="2" fillId="40" borderId="108" xfId="0" applyFont="1" applyFill="1" applyBorder="1" applyAlignment="1" applyProtection="1">
      <alignment horizontal="center" vertical="center"/>
      <protection/>
    </xf>
    <xf numFmtId="0" fontId="2" fillId="40" borderId="20" xfId="0" applyFont="1" applyFill="1" applyBorder="1" applyAlignment="1" applyProtection="1">
      <alignment horizontal="center" vertical="center"/>
      <protection/>
    </xf>
    <xf numFmtId="0" fontId="2" fillId="40" borderId="21" xfId="0" applyFont="1" applyFill="1" applyBorder="1" applyAlignment="1" applyProtection="1">
      <alignment horizontal="center" vertical="center"/>
      <protection/>
    </xf>
    <xf numFmtId="0" fontId="0" fillId="52" borderId="109" xfId="0" applyFill="1" applyBorder="1" applyAlignment="1" applyProtection="1">
      <alignment vertical="center"/>
      <protection/>
    </xf>
    <xf numFmtId="0" fontId="0" fillId="52" borderId="110" xfId="0" applyFill="1" applyBorder="1" applyAlignment="1" applyProtection="1">
      <alignment vertical="center"/>
      <protection/>
    </xf>
    <xf numFmtId="192" fontId="0" fillId="52" borderId="25" xfId="0" applyNumberFormat="1" applyFill="1" applyBorder="1" applyAlignment="1" applyProtection="1">
      <alignment vertical="center"/>
      <protection/>
    </xf>
    <xf numFmtId="181" fontId="1" fillId="52" borderId="111" xfId="51" applyNumberFormat="1" applyFont="1" applyFill="1" applyBorder="1" applyAlignment="1" applyProtection="1">
      <alignment vertical="center"/>
      <protection/>
    </xf>
    <xf numFmtId="181" fontId="1" fillId="52" borderId="112" xfId="51" applyNumberFormat="1" applyFont="1" applyFill="1" applyBorder="1" applyAlignment="1" applyProtection="1">
      <alignment vertical="center"/>
      <protection/>
    </xf>
    <xf numFmtId="181" fontId="1" fillId="52" borderId="112" xfId="51" applyNumberFormat="1" applyFont="1" applyFill="1" applyBorder="1" applyAlignment="1" applyProtection="1">
      <alignment horizontal="right" vertical="center"/>
      <protection/>
    </xf>
    <xf numFmtId="181" fontId="21" fillId="52" borderId="113" xfId="51" applyNumberFormat="1" applyFont="1" applyFill="1" applyBorder="1" applyAlignment="1" applyProtection="1">
      <alignment vertical="center"/>
      <protection/>
    </xf>
    <xf numFmtId="181" fontId="2" fillId="33" borderId="0" xfId="51" applyNumberFormat="1" applyFont="1" applyFill="1" applyBorder="1" applyAlignment="1" applyProtection="1">
      <alignment horizontal="center" vertical="center"/>
      <protection/>
    </xf>
    <xf numFmtId="42" fontId="21" fillId="41" borderId="27" xfId="51" applyNumberFormat="1" applyFont="1" applyFill="1" applyBorder="1" applyAlignment="1" applyProtection="1">
      <alignment vertical="center"/>
      <protection/>
    </xf>
    <xf numFmtId="0" fontId="2" fillId="40" borderId="25" xfId="0" applyFont="1" applyFill="1" applyBorder="1" applyAlignment="1" applyProtection="1">
      <alignment horizontal="center" vertical="center" wrapText="1"/>
      <protection/>
    </xf>
    <xf numFmtId="188" fontId="24" fillId="0" borderId="0" xfId="0" applyNumberFormat="1" applyFont="1" applyAlignment="1" applyProtection="1">
      <alignment horizontal="left" vertical="center"/>
      <protection/>
    </xf>
    <xf numFmtId="42" fontId="0" fillId="60" borderId="29" xfId="54" applyNumberFormat="1" applyFont="1" applyFill="1" applyBorder="1">
      <alignment/>
      <protection/>
    </xf>
    <xf numFmtId="42" fontId="19" fillId="61" borderId="43" xfId="51" applyNumberFormat="1" applyFont="1" applyFill="1" applyBorder="1" applyAlignment="1" applyProtection="1">
      <alignment vertical="center"/>
      <protection/>
    </xf>
    <xf numFmtId="42" fontId="18" fillId="61" borderId="43" xfId="51" applyNumberFormat="1" applyFont="1" applyFill="1" applyBorder="1" applyAlignment="1" applyProtection="1">
      <alignment vertical="center"/>
      <protection/>
    </xf>
    <xf numFmtId="42" fontId="18" fillId="62" borderId="43" xfId="51" applyNumberFormat="1" applyFont="1" applyFill="1" applyBorder="1" applyAlignment="1" applyProtection="1">
      <alignment vertical="center"/>
      <protection/>
    </xf>
    <xf numFmtId="42" fontId="19" fillId="62" borderId="43" xfId="51" applyNumberFormat="1" applyFont="1" applyFill="1" applyBorder="1" applyAlignment="1" applyProtection="1">
      <alignment vertical="center"/>
      <protection/>
    </xf>
    <xf numFmtId="42" fontId="0" fillId="54" borderId="29" xfId="54" applyNumberFormat="1" applyFont="1" applyFill="1" applyBorder="1">
      <alignment/>
      <protection/>
    </xf>
    <xf numFmtId="181" fontId="19" fillId="61" borderId="43" xfId="51" applyNumberFormat="1" applyFont="1" applyFill="1" applyBorder="1" applyAlignment="1" applyProtection="1">
      <alignment vertical="center"/>
      <protection/>
    </xf>
    <xf numFmtId="181" fontId="18" fillId="61" borderId="43" xfId="51" applyNumberFormat="1" applyFont="1" applyFill="1" applyBorder="1" applyAlignment="1" applyProtection="1">
      <alignment vertical="center"/>
      <protection/>
    </xf>
    <xf numFmtId="3" fontId="1" fillId="53" borderId="10" xfId="51" applyNumberFormat="1" applyFont="1" applyFill="1" applyBorder="1" applyAlignment="1" applyProtection="1">
      <alignment vertical="center"/>
      <protection/>
    </xf>
    <xf numFmtId="3" fontId="1" fillId="48" borderId="28" xfId="51" applyNumberFormat="1" applyFont="1" applyFill="1" applyBorder="1" applyAlignment="1" applyProtection="1">
      <alignment vertical="center"/>
      <protection/>
    </xf>
    <xf numFmtId="3" fontId="1" fillId="48" borderId="66" xfId="51" applyNumberFormat="1" applyFont="1" applyFill="1" applyBorder="1" applyAlignment="1" applyProtection="1">
      <alignment vertical="center"/>
      <protection/>
    </xf>
    <xf numFmtId="3" fontId="1" fillId="53" borderId="114" xfId="51" applyNumberFormat="1" applyFont="1" applyFill="1" applyBorder="1" applyAlignment="1" applyProtection="1">
      <alignment vertical="center"/>
      <protection/>
    </xf>
    <xf numFmtId="183" fontId="1" fillId="39" borderId="66" xfId="51" applyNumberFormat="1" applyFont="1" applyFill="1" applyBorder="1" applyAlignment="1" applyProtection="1">
      <alignment vertical="center"/>
      <protection/>
    </xf>
    <xf numFmtId="3" fontId="1" fillId="0" borderId="0" xfId="0" applyNumberFormat="1" applyFont="1" applyAlignment="1" applyProtection="1">
      <alignment vertical="center"/>
      <protection/>
    </xf>
    <xf numFmtId="0" fontId="2" fillId="45" borderId="27" xfId="0" applyFont="1" applyFill="1" applyBorder="1" applyAlignment="1" applyProtection="1">
      <alignment horizontal="center" vertical="center"/>
      <protection/>
    </xf>
    <xf numFmtId="183" fontId="1" fillId="39" borderId="25" xfId="0" applyNumberFormat="1" applyFont="1" applyFill="1" applyBorder="1" applyAlignment="1" applyProtection="1">
      <alignment vertical="center"/>
      <protection/>
    </xf>
    <xf numFmtId="183" fontId="1" fillId="39" borderId="69" xfId="0" applyNumberFormat="1" applyFont="1" applyFill="1" applyBorder="1" applyAlignment="1" applyProtection="1">
      <alignment vertical="center"/>
      <protection/>
    </xf>
    <xf numFmtId="183" fontId="1" fillId="39" borderId="27" xfId="0" applyNumberFormat="1" applyFont="1" applyFill="1" applyBorder="1" applyAlignment="1" applyProtection="1">
      <alignment vertical="center"/>
      <protection/>
    </xf>
    <xf numFmtId="183" fontId="1" fillId="39" borderId="64" xfId="0" applyNumberFormat="1" applyFont="1" applyFill="1" applyBorder="1" applyAlignment="1" applyProtection="1">
      <alignment vertical="center"/>
      <protection/>
    </xf>
    <xf numFmtId="183" fontId="1" fillId="39" borderId="28" xfId="0" applyNumberFormat="1" applyFont="1" applyFill="1" applyBorder="1" applyAlignment="1" applyProtection="1">
      <alignment vertical="center"/>
      <protection/>
    </xf>
    <xf numFmtId="183" fontId="1" fillId="39" borderId="30" xfId="0" applyNumberFormat="1" applyFont="1" applyFill="1" applyBorder="1" applyAlignment="1" applyProtection="1">
      <alignment vertical="center"/>
      <protection/>
    </xf>
    <xf numFmtId="169" fontId="24" fillId="41" borderId="18" xfId="0" applyNumberFormat="1" applyFont="1" applyFill="1" applyBorder="1" applyAlignment="1">
      <alignment horizontal="left"/>
    </xf>
    <xf numFmtId="169" fontId="24" fillId="41" borderId="19" xfId="0" applyNumberFormat="1" applyFont="1" applyFill="1" applyBorder="1" applyAlignment="1">
      <alignment horizontal="left"/>
    </xf>
    <xf numFmtId="169" fontId="35" fillId="41" borderId="18" xfId="0" applyNumberFormat="1" applyFont="1" applyFill="1" applyBorder="1" applyAlignment="1">
      <alignment horizontal="left"/>
    </xf>
    <xf numFmtId="169" fontId="35" fillId="41" borderId="19" xfId="0" applyNumberFormat="1" applyFont="1" applyFill="1" applyBorder="1" applyAlignment="1">
      <alignment horizontal="left"/>
    </xf>
    <xf numFmtId="0" fontId="24" fillId="0" borderId="0" xfId="0" applyFont="1" applyAlignment="1" applyProtection="1">
      <alignment vertical="center"/>
      <protection/>
    </xf>
    <xf numFmtId="42" fontId="1" fillId="0" borderId="0" xfId="0" applyNumberFormat="1" applyFont="1" applyAlignment="1" applyProtection="1">
      <alignment vertical="center"/>
      <protection/>
    </xf>
    <xf numFmtId="42" fontId="75" fillId="60" borderId="29" xfId="54" applyNumberFormat="1" applyFont="1" applyFill="1" applyBorder="1">
      <alignment/>
      <protection/>
    </xf>
    <xf numFmtId="181" fontId="76" fillId="63" borderId="13" xfId="51" applyNumberFormat="1" applyFont="1" applyFill="1" applyBorder="1" applyAlignment="1" applyProtection="1">
      <alignment vertical="center"/>
      <protection/>
    </xf>
    <xf numFmtId="184" fontId="77" fillId="45" borderId="13" xfId="49" applyFont="1" applyFill="1" applyBorder="1" applyAlignment="1" applyProtection="1">
      <alignment vertical="center"/>
      <protection/>
    </xf>
    <xf numFmtId="181" fontId="76" fillId="35" borderId="13" xfId="51" applyNumberFormat="1" applyFont="1" applyFill="1" applyBorder="1" applyAlignment="1" applyProtection="1">
      <alignment vertical="center"/>
      <protection/>
    </xf>
    <xf numFmtId="181" fontId="76" fillId="37" borderId="22" xfId="51" applyNumberFormat="1" applyFont="1" applyFill="1" applyBorder="1" applyAlignment="1" applyProtection="1">
      <alignment vertical="center"/>
      <protection/>
    </xf>
    <xf numFmtId="188" fontId="78" fillId="0" borderId="0" xfId="0" applyNumberFormat="1" applyFont="1" applyAlignment="1" applyProtection="1">
      <alignment vertical="center"/>
      <protection/>
    </xf>
    <xf numFmtId="181" fontId="75" fillId="62" borderId="43" xfId="51" applyNumberFormat="1" applyFont="1" applyFill="1" applyBorder="1" applyAlignment="1" applyProtection="1">
      <alignment vertical="center"/>
      <protection/>
    </xf>
    <xf numFmtId="42" fontId="75" fillId="62" borderId="43" xfId="51" applyNumberFormat="1" applyFont="1" applyFill="1" applyBorder="1" applyAlignment="1" applyProtection="1">
      <alignment vertical="center"/>
      <protection/>
    </xf>
    <xf numFmtId="181" fontId="79" fillId="37" borderId="22" xfId="51" applyNumberFormat="1" applyFont="1" applyFill="1" applyBorder="1" applyAlignment="1" applyProtection="1">
      <alignment vertical="center"/>
      <protection/>
    </xf>
    <xf numFmtId="181" fontId="0" fillId="0" borderId="0" xfId="0" applyNumberFormat="1" applyAlignment="1" applyProtection="1">
      <alignment/>
      <protection/>
    </xf>
    <xf numFmtId="1" fontId="1" fillId="34" borderId="115" xfId="0" applyNumberFormat="1" applyFont="1" applyFill="1" applyBorder="1" applyAlignment="1" applyProtection="1">
      <alignment horizontal="center" vertical="center" wrapText="1"/>
      <protection/>
    </xf>
    <xf numFmtId="0" fontId="1" fillId="34" borderId="116" xfId="0" applyFont="1" applyFill="1" applyBorder="1" applyAlignment="1" applyProtection="1">
      <alignment horizontal="center" vertical="center" wrapText="1"/>
      <protection/>
    </xf>
    <xf numFmtId="0" fontId="1" fillId="34" borderId="117" xfId="0" applyFont="1" applyFill="1" applyBorder="1" applyAlignment="1" applyProtection="1">
      <alignment horizontal="center" vertical="center" wrapText="1"/>
      <protection/>
    </xf>
    <xf numFmtId="0" fontId="2" fillId="59" borderId="118" xfId="0" applyFont="1" applyFill="1" applyBorder="1" applyAlignment="1" applyProtection="1">
      <alignment horizontal="center" vertical="center" wrapText="1"/>
      <protection/>
    </xf>
    <xf numFmtId="0" fontId="2" fillId="59" borderId="119" xfId="0" applyFont="1" applyFill="1" applyBorder="1" applyAlignment="1" applyProtection="1">
      <alignment horizontal="center" vertical="center" wrapText="1"/>
      <protection/>
    </xf>
    <xf numFmtId="0" fontId="2" fillId="64" borderId="120" xfId="0" applyFont="1" applyFill="1" applyBorder="1" applyAlignment="1" applyProtection="1">
      <alignment horizontal="center" vertical="center" wrapText="1"/>
      <protection/>
    </xf>
    <xf numFmtId="0" fontId="2" fillId="64" borderId="118" xfId="0" applyFont="1" applyFill="1" applyBorder="1" applyAlignment="1" applyProtection="1">
      <alignment horizontal="center" vertical="center" wrapText="1"/>
      <protection/>
    </xf>
    <xf numFmtId="0" fontId="2" fillId="64" borderId="119" xfId="0" applyFont="1" applyFill="1" applyBorder="1" applyAlignment="1" applyProtection="1">
      <alignment horizontal="center" vertical="center" wrapText="1"/>
      <protection/>
    </xf>
    <xf numFmtId="0" fontId="2" fillId="59" borderId="120" xfId="0" applyFont="1" applyFill="1" applyBorder="1" applyAlignment="1" applyProtection="1">
      <alignment horizontal="center" vertical="center" wrapText="1"/>
      <protection/>
    </xf>
    <xf numFmtId="0" fontId="1" fillId="34" borderId="121" xfId="0" applyFont="1" applyFill="1" applyBorder="1" applyAlignment="1" applyProtection="1">
      <alignment horizontal="center" vertical="center" wrapText="1"/>
      <protection/>
    </xf>
    <xf numFmtId="1" fontId="1" fillId="34" borderId="116" xfId="0" applyNumberFormat="1" applyFont="1" applyFill="1" applyBorder="1" applyAlignment="1" applyProtection="1">
      <alignment horizontal="center" vertical="center" wrapText="1"/>
      <protection/>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2" fillId="51" borderId="120" xfId="0" applyFont="1" applyFill="1" applyBorder="1" applyAlignment="1" applyProtection="1">
      <alignment horizontal="center" vertical="center" wrapText="1"/>
      <protection/>
    </xf>
    <xf numFmtId="0" fontId="2" fillId="51" borderId="118" xfId="0" applyFont="1" applyFill="1" applyBorder="1" applyAlignment="1" applyProtection="1">
      <alignment horizontal="center" vertical="center" wrapText="1"/>
      <protection/>
    </xf>
    <xf numFmtId="0" fontId="2" fillId="51" borderId="119" xfId="0" applyFont="1" applyFill="1" applyBorder="1" applyAlignment="1" applyProtection="1">
      <alignment horizontal="center" vertical="center" wrapText="1"/>
      <protection/>
    </xf>
    <xf numFmtId="0" fontId="8" fillId="34" borderId="122" xfId="0" applyFont="1" applyFill="1" applyBorder="1" applyAlignment="1" applyProtection="1">
      <alignment horizontal="center" vertical="center" wrapText="1"/>
      <protection/>
    </xf>
    <xf numFmtId="0" fontId="8" fillId="34" borderId="123" xfId="0" applyFont="1" applyFill="1" applyBorder="1" applyAlignment="1" applyProtection="1">
      <alignment horizontal="center" vertical="center" wrapText="1"/>
      <protection/>
    </xf>
    <xf numFmtId="0" fontId="8" fillId="34" borderId="124" xfId="0" applyFont="1" applyFill="1" applyBorder="1" applyAlignment="1" applyProtection="1">
      <alignment horizontal="center" vertical="center" wrapText="1"/>
      <protection/>
    </xf>
    <xf numFmtId="0" fontId="8" fillId="37" borderId="83" xfId="0" applyFont="1" applyFill="1" applyBorder="1" applyAlignment="1" applyProtection="1">
      <alignment horizontal="center" vertical="center" wrapText="1"/>
      <protection/>
    </xf>
    <xf numFmtId="0" fontId="8" fillId="37" borderId="125" xfId="0" applyFont="1" applyFill="1" applyBorder="1" applyAlignment="1" applyProtection="1">
      <alignment horizontal="center" vertical="center" wrapText="1"/>
      <protection/>
    </xf>
    <xf numFmtId="0" fontId="8" fillId="37" borderId="103" xfId="0" applyFont="1" applyFill="1" applyBorder="1" applyAlignment="1" applyProtection="1">
      <alignment horizontal="center" vertical="center" wrapText="1"/>
      <protection/>
    </xf>
    <xf numFmtId="180" fontId="2" fillId="0" borderId="0" xfId="51" applyFont="1" applyFill="1" applyBorder="1" applyAlignment="1" applyProtection="1">
      <alignment horizontal="right" vertical="center"/>
      <protection/>
    </xf>
    <xf numFmtId="0" fontId="2" fillId="40" borderId="14" xfId="0" applyFont="1" applyFill="1" applyBorder="1" applyAlignment="1" applyProtection="1">
      <alignment horizontal="center" vertical="center" wrapText="1"/>
      <protection/>
    </xf>
    <xf numFmtId="0" fontId="2" fillId="40" borderId="64" xfId="0" applyFont="1" applyFill="1" applyBorder="1" applyAlignment="1" applyProtection="1">
      <alignment horizontal="center" vertical="center" wrapText="1"/>
      <protection/>
    </xf>
    <xf numFmtId="0" fontId="2" fillId="40" borderId="67" xfId="0" applyFont="1" applyFill="1" applyBorder="1" applyAlignment="1" applyProtection="1">
      <alignment horizontal="center" vertical="center" wrapText="1"/>
      <protection/>
    </xf>
    <xf numFmtId="0" fontId="2" fillId="40" borderId="126" xfId="0" applyFont="1" applyFill="1" applyBorder="1" applyAlignment="1" applyProtection="1">
      <alignment horizontal="center" vertical="center" wrapText="1"/>
      <protection/>
    </xf>
    <xf numFmtId="169" fontId="35" fillId="41" borderId="18" xfId="0" applyNumberFormat="1" applyFont="1" applyFill="1" applyBorder="1" applyAlignment="1">
      <alignment horizontal="left"/>
    </xf>
    <xf numFmtId="169" fontId="35" fillId="41" borderId="19" xfId="0" applyNumberFormat="1" applyFont="1" applyFill="1" applyBorder="1" applyAlignment="1">
      <alignment horizontal="left"/>
    </xf>
    <xf numFmtId="169" fontId="2" fillId="65" borderId="18" xfId="0" applyNumberFormat="1" applyFont="1" applyFill="1" applyBorder="1" applyAlignment="1">
      <alignment horizontal="left"/>
    </xf>
    <xf numFmtId="169" fontId="2" fillId="65" borderId="19" xfId="0" applyNumberFormat="1" applyFont="1" applyFill="1" applyBorder="1" applyAlignment="1">
      <alignment horizontal="left"/>
    </xf>
    <xf numFmtId="181" fontId="4" fillId="66" borderId="127" xfId="51" applyNumberFormat="1" applyFont="1" applyFill="1" applyBorder="1" applyAlignment="1" applyProtection="1">
      <alignment horizontal="center" vertical="center"/>
      <protection/>
    </xf>
    <xf numFmtId="181" fontId="4" fillId="66" borderId="128" xfId="51" applyNumberFormat="1" applyFont="1" applyFill="1" applyBorder="1" applyAlignment="1" applyProtection="1">
      <alignment horizontal="center" vertical="center"/>
      <protection/>
    </xf>
    <xf numFmtId="181" fontId="4" fillId="66" borderId="129" xfId="51" applyNumberFormat="1" applyFont="1" applyFill="1" applyBorder="1" applyAlignment="1" applyProtection="1">
      <alignment horizontal="center" vertical="center"/>
      <protection/>
    </xf>
    <xf numFmtId="169" fontId="24" fillId="41" borderId="18" xfId="0" applyNumberFormat="1" applyFont="1" applyFill="1" applyBorder="1" applyAlignment="1">
      <alignment horizontal="left"/>
    </xf>
    <xf numFmtId="169" fontId="24" fillId="41" borderId="19" xfId="0" applyNumberFormat="1" applyFont="1" applyFill="1" applyBorder="1" applyAlignment="1">
      <alignment horizontal="left"/>
    </xf>
    <xf numFmtId="169" fontId="25" fillId="65" borderId="18" xfId="0" applyNumberFormat="1" applyFont="1" applyFill="1" applyBorder="1" applyAlignment="1">
      <alignment horizontal="left"/>
    </xf>
    <xf numFmtId="169" fontId="25" fillId="65" borderId="19" xfId="0" applyNumberFormat="1" applyFont="1" applyFill="1" applyBorder="1" applyAlignment="1">
      <alignment horizontal="left"/>
    </xf>
    <xf numFmtId="0" fontId="4" fillId="46" borderId="18" xfId="0" applyFont="1" applyFill="1" applyBorder="1" applyAlignment="1" applyProtection="1">
      <alignment horizontal="left" vertical="center"/>
      <protection/>
    </xf>
    <xf numFmtId="0" fontId="4" fillId="46" borderId="19" xfId="0" applyFont="1" applyFill="1" applyBorder="1" applyAlignment="1" applyProtection="1">
      <alignment horizontal="left" vertical="center"/>
      <protection/>
    </xf>
    <xf numFmtId="169" fontId="6" fillId="41" borderId="18" xfId="0" applyNumberFormat="1" applyFont="1" applyFill="1" applyBorder="1" applyAlignment="1">
      <alignment horizontal="left"/>
    </xf>
    <xf numFmtId="169" fontId="6" fillId="41" borderId="19" xfId="0" applyNumberFormat="1" applyFont="1" applyFill="1" applyBorder="1" applyAlignment="1">
      <alignment horizontal="left"/>
    </xf>
    <xf numFmtId="169" fontId="1" fillId="41" borderId="18" xfId="0" applyNumberFormat="1" applyFont="1" applyFill="1" applyBorder="1" applyAlignment="1">
      <alignment horizontal="left"/>
    </xf>
    <xf numFmtId="169" fontId="1" fillId="41" borderId="19" xfId="0" applyNumberFormat="1" applyFont="1" applyFill="1" applyBorder="1" applyAlignment="1">
      <alignment horizontal="left"/>
    </xf>
    <xf numFmtId="0" fontId="4" fillId="65" borderId="18" xfId="0" applyFont="1" applyFill="1" applyBorder="1" applyAlignment="1" applyProtection="1">
      <alignment horizontal="left" vertical="center"/>
      <protection/>
    </xf>
    <xf numFmtId="0" fontId="4" fillId="65" borderId="19" xfId="0" applyFont="1" applyFill="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8" fillId="34" borderId="29" xfId="0" applyFont="1" applyFill="1" applyBorder="1" applyAlignment="1" applyProtection="1">
      <alignment horizontal="center" vertical="center"/>
      <protection/>
    </xf>
    <xf numFmtId="0" fontId="8" fillId="34" borderId="73" xfId="0" applyFont="1" applyFill="1" applyBorder="1" applyAlignment="1" applyProtection="1">
      <alignment horizontal="center" vertical="center"/>
      <protection/>
    </xf>
    <xf numFmtId="0" fontId="4" fillId="35" borderId="130"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4" fillId="40" borderId="14" xfId="0" applyFont="1" applyFill="1" applyBorder="1" applyAlignment="1" applyProtection="1">
      <alignment vertical="center"/>
      <protection/>
    </xf>
    <xf numFmtId="0" fontId="4" fillId="36" borderId="46" xfId="0" applyFont="1" applyFill="1" applyBorder="1" applyAlignment="1" applyProtection="1">
      <alignment vertical="center"/>
      <protection/>
    </xf>
    <xf numFmtId="0" fontId="4" fillId="36" borderId="21" xfId="0" applyFont="1" applyFill="1" applyBorder="1" applyAlignment="1" applyProtection="1">
      <alignment vertical="center"/>
      <protection/>
    </xf>
    <xf numFmtId="0" fontId="36" fillId="65" borderId="18" xfId="0" applyFont="1" applyFill="1" applyBorder="1" applyAlignment="1" applyProtection="1">
      <alignment horizontal="left" vertical="center"/>
      <protection/>
    </xf>
    <xf numFmtId="0" fontId="36" fillId="65" borderId="19" xfId="0" applyFont="1" applyFill="1" applyBorder="1" applyAlignment="1" applyProtection="1">
      <alignment horizontal="left" vertical="center"/>
      <protection/>
    </xf>
    <xf numFmtId="0" fontId="4" fillId="63" borderId="0" xfId="0" applyFont="1" applyFill="1" applyBorder="1" applyAlignment="1" applyProtection="1">
      <alignment vertical="center"/>
      <protection/>
    </xf>
    <xf numFmtId="181" fontId="4" fillId="67" borderId="131" xfId="51" applyNumberFormat="1" applyFont="1" applyFill="1" applyBorder="1" applyAlignment="1" applyProtection="1">
      <alignment horizontal="center" vertical="center"/>
      <protection/>
    </xf>
    <xf numFmtId="181" fontId="4" fillId="67" borderId="11" xfId="51" applyNumberFormat="1" applyFont="1" applyFill="1" applyBorder="1" applyAlignment="1" applyProtection="1">
      <alignment horizontal="center" vertical="center"/>
      <protection/>
    </xf>
    <xf numFmtId="181" fontId="4" fillId="67" borderId="132" xfId="51" applyNumberFormat="1" applyFont="1" applyFill="1" applyBorder="1" applyAlignment="1" applyProtection="1">
      <alignment horizontal="center" vertical="center"/>
      <protection/>
    </xf>
    <xf numFmtId="0" fontId="36" fillId="55" borderId="133" xfId="0" applyFont="1" applyFill="1" applyBorder="1" applyAlignment="1">
      <alignment vertical="center"/>
    </xf>
    <xf numFmtId="0" fontId="36" fillId="55" borderId="134" xfId="0" applyFont="1" applyFill="1" applyBorder="1" applyAlignment="1">
      <alignment vertical="center"/>
    </xf>
    <xf numFmtId="0" fontId="29" fillId="64" borderId="98" xfId="0" applyFont="1" applyFill="1" applyBorder="1" applyAlignment="1" applyProtection="1">
      <alignment horizontal="center" vertical="center" wrapText="1"/>
      <protection/>
    </xf>
    <xf numFmtId="0" fontId="29" fillId="64" borderId="99" xfId="0" applyFont="1" applyFill="1" applyBorder="1" applyAlignment="1" applyProtection="1">
      <alignment horizontal="center" vertical="center" wrapText="1"/>
      <protection/>
    </xf>
    <xf numFmtId="0" fontId="29" fillId="64" borderId="102" xfId="0" applyFont="1" applyFill="1" applyBorder="1" applyAlignment="1" applyProtection="1">
      <alignment horizontal="center" vertical="center" wrapText="1"/>
      <protection/>
    </xf>
    <xf numFmtId="169" fontId="25" fillId="46" borderId="18" xfId="0" applyNumberFormat="1" applyFont="1" applyFill="1" applyBorder="1" applyAlignment="1">
      <alignment horizontal="left"/>
    </xf>
    <xf numFmtId="169" fontId="25" fillId="46" borderId="19" xfId="0" applyNumberFormat="1" applyFont="1" applyFill="1" applyBorder="1" applyAlignment="1">
      <alignment horizontal="left"/>
    </xf>
    <xf numFmtId="0" fontId="24" fillId="41" borderId="18" xfId="0" applyFont="1" applyFill="1" applyBorder="1" applyAlignment="1">
      <alignment horizontal="left"/>
    </xf>
    <xf numFmtId="0" fontId="24" fillId="41" borderId="19" xfId="0" applyFont="1" applyFill="1" applyBorder="1" applyAlignment="1">
      <alignment horizontal="left"/>
    </xf>
    <xf numFmtId="0" fontId="1" fillId="65" borderId="18" xfId="0" applyFont="1" applyFill="1" applyBorder="1" applyAlignment="1" applyProtection="1">
      <alignment horizontal="center" vertical="center"/>
      <protection/>
    </xf>
    <xf numFmtId="0" fontId="1" fillId="65" borderId="104" xfId="0" applyFont="1" applyFill="1" applyBorder="1" applyAlignment="1" applyProtection="1">
      <alignment horizontal="center" vertical="center"/>
      <protection/>
    </xf>
    <xf numFmtId="0" fontId="1" fillId="65" borderId="19" xfId="0" applyFont="1" applyFill="1" applyBorder="1" applyAlignment="1" applyProtection="1">
      <alignment horizontal="center" vertical="center"/>
      <protection/>
    </xf>
    <xf numFmtId="0" fontId="2" fillId="65" borderId="104" xfId="0" applyFont="1" applyFill="1" applyBorder="1" applyAlignment="1" applyProtection="1">
      <alignment horizontal="left" vertical="center"/>
      <protection/>
    </xf>
    <xf numFmtId="0" fontId="2" fillId="65" borderId="73" xfId="0" applyFont="1" applyFill="1" applyBorder="1" applyAlignment="1" applyProtection="1">
      <alignment horizontal="left" vertical="center"/>
      <protection/>
    </xf>
    <xf numFmtId="169" fontId="2" fillId="65" borderId="29" xfId="0" applyNumberFormat="1" applyFont="1" applyFill="1" applyBorder="1" applyAlignment="1">
      <alignment horizontal="left"/>
    </xf>
    <xf numFmtId="169" fontId="2" fillId="65" borderId="73" xfId="0" applyNumberFormat="1" applyFont="1" applyFill="1" applyBorder="1" applyAlignment="1">
      <alignment horizontal="left"/>
    </xf>
    <xf numFmtId="0" fontId="2" fillId="34" borderId="13" xfId="0" applyFont="1" applyFill="1" applyBorder="1" applyAlignment="1" applyProtection="1">
      <alignment horizontal="center" vertical="center"/>
      <protection/>
    </xf>
    <xf numFmtId="0" fontId="2" fillId="37" borderId="13"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40" borderId="15" xfId="0" applyFont="1" applyFill="1" applyBorder="1" applyAlignment="1" applyProtection="1">
      <alignment horizontal="center" vertical="center" wrapText="1"/>
      <protection/>
    </xf>
    <xf numFmtId="0" fontId="2" fillId="40" borderId="13" xfId="0" applyFont="1" applyFill="1" applyBorder="1" applyAlignment="1" applyProtection="1">
      <alignment vertical="center" wrapText="1"/>
      <protection/>
    </xf>
    <xf numFmtId="0" fontId="2" fillId="40" borderId="14" xfId="0" applyFont="1" applyFill="1" applyBorder="1" applyAlignment="1" applyProtection="1">
      <alignment vertical="center" wrapText="1"/>
      <protection/>
    </xf>
    <xf numFmtId="0" fontId="2" fillId="0" borderId="10" xfId="0" applyFont="1" applyBorder="1" applyAlignment="1" applyProtection="1">
      <alignment horizontal="right" vertical="center"/>
      <protection/>
    </xf>
    <xf numFmtId="0" fontId="2" fillId="58" borderId="83" xfId="0" applyFont="1" applyFill="1" applyBorder="1" applyAlignment="1" applyProtection="1">
      <alignment horizontal="center" vertical="center" wrapText="1"/>
      <protection/>
    </xf>
    <xf numFmtId="0" fontId="2" fillId="58" borderId="76" xfId="0" applyFont="1" applyFill="1" applyBorder="1" applyAlignment="1" applyProtection="1">
      <alignment horizontal="center" vertical="center" wrapText="1"/>
      <protection/>
    </xf>
    <xf numFmtId="0" fontId="2" fillId="58" borderId="79" xfId="0" applyFont="1" applyFill="1" applyBorder="1" applyAlignment="1" applyProtection="1">
      <alignment horizontal="center" vertical="center" wrapText="1"/>
      <protection/>
    </xf>
    <xf numFmtId="0" fontId="2" fillId="59" borderId="98" xfId="0" applyFont="1" applyFill="1" applyBorder="1" applyAlignment="1" applyProtection="1">
      <alignment horizontal="center" vertical="center" wrapText="1"/>
      <protection/>
    </xf>
    <xf numFmtId="0" fontId="2" fillId="59" borderId="99" xfId="0" applyFont="1" applyFill="1" applyBorder="1" applyAlignment="1" applyProtection="1">
      <alignment horizontal="center" vertical="center" wrapText="1"/>
      <protection/>
    </xf>
    <xf numFmtId="0" fontId="2" fillId="59" borderId="102" xfId="0" applyFont="1" applyFill="1" applyBorder="1" applyAlignment="1" applyProtection="1">
      <alignment horizontal="center" vertical="center" wrapText="1"/>
      <protection/>
    </xf>
    <xf numFmtId="0" fontId="2" fillId="58" borderId="135" xfId="0" applyFont="1" applyFill="1" applyBorder="1" applyAlignment="1" applyProtection="1">
      <alignment horizontal="center" vertical="center" wrapText="1"/>
      <protection/>
    </xf>
    <xf numFmtId="0" fontId="2" fillId="58" borderId="136" xfId="0" applyFont="1" applyFill="1" applyBorder="1" applyAlignment="1" applyProtection="1">
      <alignment horizontal="center" vertical="center" wrapText="1"/>
      <protection/>
    </xf>
    <xf numFmtId="0" fontId="20" fillId="41" borderId="122" xfId="0" applyFont="1" applyFill="1" applyBorder="1" applyAlignment="1">
      <alignment horizontal="center"/>
    </xf>
    <xf numFmtId="0" fontId="20" fillId="41" borderId="123" xfId="0" applyFont="1" applyFill="1" applyBorder="1" applyAlignment="1">
      <alignment horizontal="center"/>
    </xf>
    <xf numFmtId="0" fontId="20" fillId="41" borderId="124" xfId="0" applyFont="1" applyFill="1" applyBorder="1" applyAlignment="1">
      <alignment horizontal="center"/>
    </xf>
    <xf numFmtId="0" fontId="2" fillId="55" borderId="83" xfId="0" applyFont="1" applyFill="1" applyBorder="1" applyAlignment="1" applyProtection="1">
      <alignment horizontal="center" vertical="center" wrapText="1"/>
      <protection/>
    </xf>
    <xf numFmtId="0" fontId="2" fillId="55" borderId="76" xfId="0" applyFont="1" applyFill="1" applyBorder="1" applyAlignment="1" applyProtection="1">
      <alignment horizontal="center" vertical="center" wrapText="1"/>
      <protection/>
    </xf>
    <xf numFmtId="0" fontId="2" fillId="55" borderId="79" xfId="0" applyFont="1" applyFill="1" applyBorder="1" applyAlignment="1" applyProtection="1">
      <alignment horizontal="center" vertical="center" wrapText="1"/>
      <protection/>
    </xf>
    <xf numFmtId="0" fontId="20" fillId="68" borderId="83" xfId="0" applyFont="1" applyFill="1" applyBorder="1" applyAlignment="1">
      <alignment horizontal="center"/>
    </xf>
    <xf numFmtId="0" fontId="0" fillId="0" borderId="125" xfId="0" applyBorder="1" applyAlignment="1">
      <alignment horizontal="center"/>
    </xf>
    <xf numFmtId="0" fontId="0" fillId="0" borderId="103" xfId="0" applyBorder="1" applyAlignment="1">
      <alignment horizontal="center"/>
    </xf>
    <xf numFmtId="0" fontId="30" fillId="41" borderId="27" xfId="0" applyFont="1" applyFill="1" applyBorder="1" applyAlignment="1">
      <alignment horizontal="center" vertical="center"/>
    </xf>
    <xf numFmtId="0" fontId="20" fillId="41" borderId="83" xfId="0" applyFont="1" applyFill="1" applyBorder="1" applyAlignment="1">
      <alignment horizontal="center" vertical="center" wrapText="1"/>
    </xf>
    <xf numFmtId="0" fontId="20" fillId="41" borderId="79" xfId="0" applyFont="1" applyFill="1" applyBorder="1" applyAlignment="1">
      <alignment horizontal="center" vertical="center" wrapText="1"/>
    </xf>
    <xf numFmtId="0" fontId="20" fillId="68" borderId="122" xfId="0" applyFont="1" applyFill="1" applyBorder="1" applyAlignment="1">
      <alignment horizontal="center"/>
    </xf>
    <xf numFmtId="0" fontId="20" fillId="68" borderId="123" xfId="0" applyFont="1" applyFill="1" applyBorder="1" applyAlignment="1">
      <alignment horizontal="center"/>
    </xf>
    <xf numFmtId="0" fontId="20" fillId="68" borderId="124" xfId="0" applyFont="1" applyFill="1" applyBorder="1" applyAlignment="1">
      <alignment horizontal="center"/>
    </xf>
    <xf numFmtId="0" fontId="20" fillId="0" borderId="0" xfId="0" applyFont="1" applyFill="1" applyBorder="1" applyAlignment="1">
      <alignment horizontal="center" vertical="center" wrapText="1"/>
    </xf>
    <xf numFmtId="0" fontId="20" fillId="68" borderId="122" xfId="0" applyFont="1" applyFill="1" applyBorder="1" applyAlignment="1">
      <alignment horizontal="center" vertical="center"/>
    </xf>
    <xf numFmtId="0" fontId="20" fillId="68" borderId="123" xfId="0" applyFont="1" applyFill="1" applyBorder="1" applyAlignment="1">
      <alignment horizontal="center" vertical="center"/>
    </xf>
    <xf numFmtId="188" fontId="20" fillId="0" borderId="0" xfId="0" applyNumberFormat="1" applyFont="1" applyFill="1" applyBorder="1" applyAlignment="1" applyProtection="1">
      <alignment horizontal="center" vertical="center" wrapText="1"/>
      <protection/>
    </xf>
    <xf numFmtId="0" fontId="20" fillId="41" borderId="53" xfId="0" applyFont="1" applyFill="1" applyBorder="1" applyAlignment="1">
      <alignment horizontal="center" vertical="center" wrapText="1"/>
    </xf>
    <xf numFmtId="0" fontId="20" fillId="41" borderId="44" xfId="0" applyFont="1" applyFill="1" applyBorder="1" applyAlignment="1">
      <alignment horizontal="center" vertical="center" wrapText="1"/>
    </xf>
    <xf numFmtId="0" fontId="20" fillId="55" borderId="27" xfId="0" applyFont="1" applyFill="1" applyBorder="1" applyAlignment="1">
      <alignment horizontal="center" vertical="center" wrapText="1"/>
    </xf>
    <xf numFmtId="0" fontId="20" fillId="55" borderId="25" xfId="0" applyFont="1" applyFill="1" applyBorder="1" applyAlignment="1">
      <alignment horizontal="center" vertical="center" wrapText="1"/>
    </xf>
    <xf numFmtId="0" fontId="20" fillId="55" borderId="98" xfId="0" applyFont="1" applyFill="1" applyBorder="1" applyAlignment="1">
      <alignment horizontal="center" wrapText="1"/>
    </xf>
    <xf numFmtId="0" fontId="20" fillId="55" borderId="99" xfId="0" applyFont="1" applyFill="1" applyBorder="1" applyAlignment="1">
      <alignment horizontal="center" wrapText="1"/>
    </xf>
    <xf numFmtId="0" fontId="2" fillId="0" borderId="0" xfId="0" applyFont="1" applyFill="1" applyBorder="1" applyAlignment="1" applyProtection="1">
      <alignment horizontal="center" vertical="center" wrapText="1"/>
      <protection/>
    </xf>
    <xf numFmtId="0" fontId="0" fillId="45" borderId="83" xfId="0" applyFill="1" applyBorder="1" applyAlignment="1">
      <alignment horizontal="center" vertical="center"/>
    </xf>
    <xf numFmtId="0" fontId="0" fillId="45" borderId="76" xfId="0" applyFill="1" applyBorder="1" applyAlignment="1">
      <alignment horizontal="center" vertical="center"/>
    </xf>
    <xf numFmtId="0" fontId="0" fillId="45" borderId="79" xfId="0" applyFill="1" applyBorder="1" applyAlignment="1">
      <alignment horizontal="center" vertical="center"/>
    </xf>
    <xf numFmtId="199" fontId="0" fillId="0" borderId="0" xfId="51" applyNumberForma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A.Educacion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75"/>
          <c:w val="0.63175"/>
          <c:h val="0.94675"/>
        </c:manualLayout>
      </c:layout>
      <c:barChart>
        <c:barDir val="col"/>
        <c:grouping val="clustered"/>
        <c:varyColors val="0"/>
        <c:ser>
          <c:idx val="0"/>
          <c:order val="0"/>
          <c:tx>
            <c:strRef>
              <c:f>'Ap. 2 Ingresos C. Benef.'!$D$7:$D$15</c:f>
              <c:strCache>
                <c:ptCount val="1"/>
                <c:pt idx="0">
                  <c:v>RESUMEN DE INGRESOS Y COSTOS DE LOS CENTROS DE BENEFICIO EDUCACIONALES ING. SOC $ 23.000.000 ACTIVO OFICIAL 1,06 MEDIA JORNADA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Benef.'!$D$16:$D$40</c:f>
              <c:numCache>
                <c:ptCount val="25"/>
                <c:pt idx="0">
                  <c:v>78652</c:v>
                </c:pt>
                <c:pt idx="1">
                  <c:v>1</c:v>
                </c:pt>
                <c:pt idx="2">
                  <c:v>78652</c:v>
                </c:pt>
                <c:pt idx="3">
                  <c:v>41234</c:v>
                </c:pt>
                <c:pt idx="4">
                  <c:v>0</c:v>
                </c:pt>
                <c:pt idx="5">
                  <c:v>0</c:v>
                </c:pt>
                <c:pt idx="6">
                  <c:v>0</c:v>
                </c:pt>
                <c:pt idx="7">
                  <c:v>0</c:v>
                </c:pt>
                <c:pt idx="8">
                  <c:v>0</c:v>
                </c:pt>
                <c:pt idx="9">
                  <c:v>0</c:v>
                </c:pt>
                <c:pt idx="10">
                  <c:v>0</c:v>
                </c:pt>
                <c:pt idx="11">
                  <c:v>0</c:v>
                </c:pt>
                <c:pt idx="12">
                  <c:v>0</c:v>
                </c:pt>
                <c:pt idx="13">
                  <c:v>0</c:v>
                </c:pt>
                <c:pt idx="14">
                  <c:v>0</c:v>
                </c:pt>
                <c:pt idx="15">
                  <c:v>58724</c:v>
                </c:pt>
                <c:pt idx="16">
                  <c:v>5</c:v>
                </c:pt>
                <c:pt idx="17">
                  <c:v>293620</c:v>
                </c:pt>
                <c:pt idx="18">
                  <c:v>86178</c:v>
                </c:pt>
                <c:pt idx="19">
                  <c:v>0</c:v>
                </c:pt>
                <c:pt idx="20">
                  <c:v>0</c:v>
                </c:pt>
                <c:pt idx="21">
                  <c:v>58724</c:v>
                </c:pt>
                <c:pt idx="22">
                  <c:v>2</c:v>
                </c:pt>
                <c:pt idx="23">
                  <c:v>117448</c:v>
                </c:pt>
                <c:pt idx="24">
                  <c:v>489720</c:v>
                </c:pt>
              </c:numCache>
            </c:numRef>
          </c:val>
        </c:ser>
        <c:ser>
          <c:idx val="1"/>
          <c:order val="1"/>
          <c:tx>
            <c:strRef>
              <c:f>'Ap. 2 Ingresos C. Benef.'!$E$7:$E$15</c:f>
              <c:strCache>
                <c:ptCount val="1"/>
                <c:pt idx="0">
                  <c:v>RESUMEN DE INGRESOS Y COSTOS DE LOS CENTROS DE BENEFICIO EDUCACIONALES ING. MATR.  $3.988.144  ACTIVO GM. 1,06 MEDIA JORNADA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Benef.'!$E$16:$E$40</c:f>
              <c:numCache>
                <c:ptCount val="25"/>
                <c:pt idx="0">
                  <c:v>66250</c:v>
                </c:pt>
                <c:pt idx="1">
                  <c:v>1</c:v>
                </c:pt>
                <c:pt idx="2">
                  <c:v>66250</c:v>
                </c:pt>
                <c:pt idx="3">
                  <c:v>33814</c:v>
                </c:pt>
                <c:pt idx="4">
                  <c:v>1</c:v>
                </c:pt>
                <c:pt idx="5">
                  <c:v>33814</c:v>
                </c:pt>
                <c:pt idx="6">
                  <c:v>0</c:v>
                </c:pt>
                <c:pt idx="7">
                  <c:v>0</c:v>
                </c:pt>
                <c:pt idx="8">
                  <c:v>0</c:v>
                </c:pt>
                <c:pt idx="9">
                  <c:v>0</c:v>
                </c:pt>
                <c:pt idx="10">
                  <c:v>0</c:v>
                </c:pt>
                <c:pt idx="11">
                  <c:v>0</c:v>
                </c:pt>
                <c:pt idx="12">
                  <c:v>0</c:v>
                </c:pt>
                <c:pt idx="13">
                  <c:v>0</c:v>
                </c:pt>
                <c:pt idx="14">
                  <c:v>0</c:v>
                </c:pt>
                <c:pt idx="15">
                  <c:v>46216</c:v>
                </c:pt>
                <c:pt idx="16">
                  <c:v>25</c:v>
                </c:pt>
                <c:pt idx="17">
                  <c:v>1155400</c:v>
                </c:pt>
                <c:pt idx="18">
                  <c:v>73670</c:v>
                </c:pt>
                <c:pt idx="19">
                  <c:v>6</c:v>
                </c:pt>
                <c:pt idx="20">
                  <c:v>442020</c:v>
                </c:pt>
                <c:pt idx="21">
                  <c:v>52470</c:v>
                </c:pt>
                <c:pt idx="22">
                  <c:v>0</c:v>
                </c:pt>
                <c:pt idx="23">
                  <c:v>0</c:v>
                </c:pt>
                <c:pt idx="24">
                  <c:v>1697484</c:v>
                </c:pt>
              </c:numCache>
            </c:numRef>
          </c:val>
        </c:ser>
        <c:ser>
          <c:idx val="2"/>
          <c:order val="2"/>
          <c:tx>
            <c:strRef>
              <c:f>'Ap. 2 Ingresos C. Benef.'!$F$7:$F$15</c:f>
              <c:strCache>
                <c:ptCount val="1"/>
                <c:pt idx="0">
                  <c:v>RESUMEN DE INGRESOS Y COSTOS DE LOS CENTROS DE BENEFICIO EDUCACIONALES ING. MENS.  $43.263.280  ACTIVO GM. 1,06 MEDIA JORNADA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Benef.'!$F$16:$F$40</c:f>
              <c:numCache>
                <c:ptCount val="25"/>
                <c:pt idx="0">
                  <c:v>108226</c:v>
                </c:pt>
                <c:pt idx="1">
                  <c:v>2</c:v>
                </c:pt>
                <c:pt idx="2">
                  <c:v>216452</c:v>
                </c:pt>
                <c:pt idx="3">
                  <c:v>54908</c:v>
                </c:pt>
                <c:pt idx="4">
                  <c:v>0</c:v>
                </c:pt>
                <c:pt idx="5">
                  <c:v>0</c:v>
                </c:pt>
                <c:pt idx="6">
                  <c:v>0</c:v>
                </c:pt>
                <c:pt idx="7">
                  <c:v>0</c:v>
                </c:pt>
                <c:pt idx="8">
                  <c:v>0</c:v>
                </c:pt>
                <c:pt idx="9">
                  <c:v>0</c:v>
                </c:pt>
                <c:pt idx="10">
                  <c:v>0</c:v>
                </c:pt>
                <c:pt idx="11">
                  <c:v>0</c:v>
                </c:pt>
                <c:pt idx="12">
                  <c:v>0</c:v>
                </c:pt>
                <c:pt idx="13">
                  <c:v>0</c:v>
                </c:pt>
                <c:pt idx="14">
                  <c:v>0</c:v>
                </c:pt>
                <c:pt idx="15">
                  <c:v>78546</c:v>
                </c:pt>
                <c:pt idx="16">
                  <c:v>1</c:v>
                </c:pt>
                <c:pt idx="17">
                  <c:v>78546</c:v>
                </c:pt>
                <c:pt idx="18">
                  <c:v>117130</c:v>
                </c:pt>
                <c:pt idx="19">
                  <c:v>2</c:v>
                </c:pt>
                <c:pt idx="20">
                  <c:v>234260</c:v>
                </c:pt>
                <c:pt idx="21">
                  <c:v>78546</c:v>
                </c:pt>
                <c:pt idx="22">
                  <c:v>1</c:v>
                </c:pt>
                <c:pt idx="23">
                  <c:v>78546</c:v>
                </c:pt>
                <c:pt idx="24">
                  <c:v>607804</c:v>
                </c:pt>
              </c:numCache>
            </c:numRef>
          </c:val>
        </c:ser>
        <c:ser>
          <c:idx val="3"/>
          <c:order val="3"/>
          <c:tx>
            <c:strRef>
              <c:f>'Ap. 2 Ingresos C. Benef.'!$G$7:$G$15</c:f>
              <c:strCache>
                <c:ptCount val="1"/>
                <c:pt idx="0">
                  <c:v>RESUMEN DE INGRESOS Y COSTOS DE LOS CENTROS DE BENEFICIO EDUCACIONALES ING.TOTAL  $102.562.419  ACTIVO GM. 1,06 MEDIA JORNADA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Benef.'!$G$16:$G$40</c:f>
              <c:numCache>
                <c:ptCount val="25"/>
                <c:pt idx="0">
                  <c:v>94128</c:v>
                </c:pt>
                <c:pt idx="1">
                  <c:v>0</c:v>
                </c:pt>
                <c:pt idx="2">
                  <c:v>0</c:v>
                </c:pt>
                <c:pt idx="3">
                  <c:v>48972</c:v>
                </c:pt>
                <c:pt idx="4">
                  <c:v>0</c:v>
                </c:pt>
                <c:pt idx="5">
                  <c:v>0</c:v>
                </c:pt>
                <c:pt idx="6">
                  <c:v>0</c:v>
                </c:pt>
                <c:pt idx="7">
                  <c:v>0</c:v>
                </c:pt>
                <c:pt idx="8">
                  <c:v>0</c:v>
                </c:pt>
                <c:pt idx="9">
                  <c:v>0</c:v>
                </c:pt>
                <c:pt idx="10">
                  <c:v>0</c:v>
                </c:pt>
                <c:pt idx="11">
                  <c:v>0</c:v>
                </c:pt>
                <c:pt idx="12">
                  <c:v>0</c:v>
                </c:pt>
                <c:pt idx="13">
                  <c:v>0</c:v>
                </c:pt>
                <c:pt idx="14">
                  <c:v>0</c:v>
                </c:pt>
                <c:pt idx="15">
                  <c:v>69642</c:v>
                </c:pt>
                <c:pt idx="16">
                  <c:v>3</c:v>
                </c:pt>
                <c:pt idx="17">
                  <c:v>208926</c:v>
                </c:pt>
                <c:pt idx="18">
                  <c:v>102290</c:v>
                </c:pt>
                <c:pt idx="19">
                  <c:v>3</c:v>
                </c:pt>
                <c:pt idx="20">
                  <c:v>306870</c:v>
                </c:pt>
                <c:pt idx="21">
                  <c:v>69642</c:v>
                </c:pt>
                <c:pt idx="22">
                  <c:v>2</c:v>
                </c:pt>
                <c:pt idx="23">
                  <c:v>139284</c:v>
                </c:pt>
                <c:pt idx="24">
                  <c:v>655080</c:v>
                </c:pt>
              </c:numCache>
            </c:numRef>
          </c:val>
        </c:ser>
        <c:ser>
          <c:idx val="4"/>
          <c:order val="4"/>
          <c:tx>
            <c:strRef>
              <c:f>'Ap. 2 Ingresos C. Benef.'!$H$7:$H$15</c:f>
              <c:strCache>
                <c:ptCount val="1"/>
                <c:pt idx="0">
                  <c:v>RESUMEN DE INGRESOS Y COSTOS DE LOS CENTROS DE BENEFICIO EDUCACIONALES COSTOS DIR  $129.578.390  ACTIVO GM. EXCEDENTE ASISTENCIA MEDIA JORNADA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Benef.'!$H$16:$H$40</c:f>
              <c:numCache>
                <c:ptCount val="25"/>
                <c:pt idx="0">
                  <c:v>117342</c:v>
                </c:pt>
                <c:pt idx="1">
                  <c:v>0</c:v>
                </c:pt>
                <c:pt idx="2">
                  <c:v>0</c:v>
                </c:pt>
                <c:pt idx="3">
                  <c:v>60738</c:v>
                </c:pt>
                <c:pt idx="4">
                  <c:v>0</c:v>
                </c:pt>
                <c:pt idx="5">
                  <c:v>0</c:v>
                </c:pt>
                <c:pt idx="6">
                  <c:v>0</c:v>
                </c:pt>
                <c:pt idx="7">
                  <c:v>0</c:v>
                </c:pt>
                <c:pt idx="8">
                  <c:v>0</c:v>
                </c:pt>
                <c:pt idx="9">
                  <c:v>0</c:v>
                </c:pt>
                <c:pt idx="10">
                  <c:v>0</c:v>
                </c:pt>
                <c:pt idx="11">
                  <c:v>0</c:v>
                </c:pt>
                <c:pt idx="12">
                  <c:v>0</c:v>
                </c:pt>
                <c:pt idx="13">
                  <c:v>0</c:v>
                </c:pt>
                <c:pt idx="14">
                  <c:v>0</c:v>
                </c:pt>
                <c:pt idx="15">
                  <c:v>85012</c:v>
                </c:pt>
                <c:pt idx="16">
                  <c:v>0</c:v>
                </c:pt>
                <c:pt idx="17">
                  <c:v>0</c:v>
                </c:pt>
                <c:pt idx="18">
                  <c:v>119356</c:v>
                </c:pt>
                <c:pt idx="19">
                  <c:v>3</c:v>
                </c:pt>
                <c:pt idx="20">
                  <c:v>358068</c:v>
                </c:pt>
                <c:pt idx="21">
                  <c:v>89994</c:v>
                </c:pt>
                <c:pt idx="22">
                  <c:v>2</c:v>
                </c:pt>
                <c:pt idx="23">
                  <c:v>179988</c:v>
                </c:pt>
                <c:pt idx="24">
                  <c:v>538056</c:v>
                </c:pt>
              </c:numCache>
            </c:numRef>
          </c:val>
        </c:ser>
        <c:ser>
          <c:idx val="5"/>
          <c:order val="5"/>
          <c:tx>
            <c:strRef>
              <c:f>'Ap. 2 Ingresos C. Benef.'!$I$7:$I$15</c:f>
              <c:strCache>
                <c:ptCount val="1"/>
                <c:pt idx="0">
                  <c:v>RESUMEN DE INGRESOS Y COSTOS DE LOS CENTROS DE BENEFICIO EDUCACIONALES C.IND. Dp.  $-  ACTIVO GM. EXCEDENTE ASISTENCIA MEDIA JORNADA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Benef.'!$I$16:$I$40</c:f>
              <c:numCache>
                <c:ptCount val="25"/>
                <c:pt idx="0">
                  <c:v>78652</c:v>
                </c:pt>
                <c:pt idx="1">
                  <c:v>1</c:v>
                </c:pt>
                <c:pt idx="2">
                  <c:v>786520</c:v>
                </c:pt>
                <c:pt idx="3">
                  <c:v>41234</c:v>
                </c:pt>
                <c:pt idx="4">
                  <c:v>0</c:v>
                </c:pt>
                <c:pt idx="5">
                  <c:v>0</c:v>
                </c:pt>
                <c:pt idx="6">
                  <c:v>7500</c:v>
                </c:pt>
                <c:pt idx="7">
                  <c:v>1</c:v>
                </c:pt>
                <c:pt idx="8">
                  <c:v>75000</c:v>
                </c:pt>
                <c:pt idx="9">
                  <c:v>21501</c:v>
                </c:pt>
                <c:pt idx="10">
                  <c:v>4</c:v>
                </c:pt>
                <c:pt idx="11">
                  <c:v>860040</c:v>
                </c:pt>
                <c:pt idx="12">
                  <c:v>12543</c:v>
                </c:pt>
                <c:pt idx="13">
                  <c:v>1</c:v>
                </c:pt>
                <c:pt idx="14">
                  <c:v>125430</c:v>
                </c:pt>
                <c:pt idx="15">
                  <c:v>58724</c:v>
                </c:pt>
                <c:pt idx="16">
                  <c:v>5</c:v>
                </c:pt>
                <c:pt idx="17">
                  <c:v>2936200</c:v>
                </c:pt>
                <c:pt idx="18">
                  <c:v>86178</c:v>
                </c:pt>
                <c:pt idx="19">
                  <c:v>0</c:v>
                </c:pt>
                <c:pt idx="20">
                  <c:v>0</c:v>
                </c:pt>
                <c:pt idx="21">
                  <c:v>58724</c:v>
                </c:pt>
                <c:pt idx="22">
                  <c:v>2</c:v>
                </c:pt>
                <c:pt idx="23">
                  <c:v>1174480</c:v>
                </c:pt>
                <c:pt idx="24">
                  <c:v>4897200</c:v>
                </c:pt>
              </c:numCache>
            </c:numRef>
          </c:val>
        </c:ser>
        <c:ser>
          <c:idx val="6"/>
          <c:order val="6"/>
          <c:tx>
            <c:strRef>
              <c:f>'Ap. 2 Ingresos C. Benef.'!$J$7:$J$15</c:f>
              <c:strCache>
                <c:ptCount val="1"/>
                <c:pt idx="0">
                  <c:v>RESUMEN DE INGRESOS Y COSTOS DE LOS CENTROS DE BENEFICIO EDUCACIONALES C. TOTAL  $129.578.390  ACTIVO GM. -$ 27.015.971  MEDIA JORNADA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Benef.'!$J$16:$J$40</c:f>
              <c:numCache>
                <c:ptCount val="25"/>
                <c:pt idx="0">
                  <c:v>66250</c:v>
                </c:pt>
                <c:pt idx="1">
                  <c:v>1</c:v>
                </c:pt>
                <c:pt idx="2">
                  <c:v>662500</c:v>
                </c:pt>
                <c:pt idx="3">
                  <c:v>33814</c:v>
                </c:pt>
                <c:pt idx="4">
                  <c:v>1</c:v>
                </c:pt>
                <c:pt idx="5">
                  <c:v>338140</c:v>
                </c:pt>
                <c:pt idx="6">
                  <c:v>7500</c:v>
                </c:pt>
                <c:pt idx="7">
                  <c:v>2</c:v>
                </c:pt>
                <c:pt idx="8">
                  <c:v>150000</c:v>
                </c:pt>
                <c:pt idx="9">
                  <c:v>21501</c:v>
                </c:pt>
                <c:pt idx="10">
                  <c:v>6</c:v>
                </c:pt>
                <c:pt idx="11">
                  <c:v>1290060</c:v>
                </c:pt>
                <c:pt idx="12">
                  <c:v>12543</c:v>
                </c:pt>
                <c:pt idx="13">
                  <c:v>2</c:v>
                </c:pt>
                <c:pt idx="14">
                  <c:v>250860</c:v>
                </c:pt>
                <c:pt idx="15">
                  <c:v>46216</c:v>
                </c:pt>
                <c:pt idx="16">
                  <c:v>25</c:v>
                </c:pt>
                <c:pt idx="17">
                  <c:v>11554000</c:v>
                </c:pt>
                <c:pt idx="18">
                  <c:v>73670</c:v>
                </c:pt>
                <c:pt idx="19">
                  <c:v>6</c:v>
                </c:pt>
                <c:pt idx="20">
                  <c:v>4420200</c:v>
                </c:pt>
                <c:pt idx="21">
                  <c:v>52470</c:v>
                </c:pt>
                <c:pt idx="22">
                  <c:v>0</c:v>
                </c:pt>
                <c:pt idx="23">
                  <c:v>0</c:v>
                </c:pt>
                <c:pt idx="24">
                  <c:v>16974840</c:v>
                </c:pt>
              </c:numCache>
            </c:numRef>
          </c:val>
        </c:ser>
        <c:ser>
          <c:idx val="7"/>
          <c:order val="7"/>
          <c:tx>
            <c:strRef>
              <c:f>'Ap. 2 Ingresos C. Benef.'!$K$7:$K$15</c:f>
              <c:strCache>
                <c:ptCount val="1"/>
                <c:pt idx="0">
                  <c:v>RESUMEN DE INGRESOS Y COSTOS DE LOS CENTROS DE BENEFICIO EDUCACIONALES EXCEDENTE -$27.015.971  ACTIVO GM. -$ 27.015.971  MEDIA JORNADA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Benef.'!$K$16:$K$40</c:f>
              <c:numCache>
                <c:ptCount val="25"/>
                <c:pt idx="0">
                  <c:v>108226</c:v>
                </c:pt>
                <c:pt idx="1">
                  <c:v>2</c:v>
                </c:pt>
                <c:pt idx="2">
                  <c:v>2164520</c:v>
                </c:pt>
                <c:pt idx="3">
                  <c:v>54908</c:v>
                </c:pt>
                <c:pt idx="4">
                  <c:v>0</c:v>
                </c:pt>
                <c:pt idx="5">
                  <c:v>0</c:v>
                </c:pt>
                <c:pt idx="6">
                  <c:v>7500</c:v>
                </c:pt>
                <c:pt idx="7">
                  <c:v>0</c:v>
                </c:pt>
                <c:pt idx="8">
                  <c:v>0</c:v>
                </c:pt>
                <c:pt idx="9">
                  <c:v>21501</c:v>
                </c:pt>
                <c:pt idx="10">
                  <c:v>0</c:v>
                </c:pt>
                <c:pt idx="11">
                  <c:v>0</c:v>
                </c:pt>
                <c:pt idx="12">
                  <c:v>12543</c:v>
                </c:pt>
                <c:pt idx="13">
                  <c:v>0</c:v>
                </c:pt>
                <c:pt idx="14">
                  <c:v>0</c:v>
                </c:pt>
                <c:pt idx="15">
                  <c:v>78546</c:v>
                </c:pt>
                <c:pt idx="16">
                  <c:v>1</c:v>
                </c:pt>
                <c:pt idx="17">
                  <c:v>785460</c:v>
                </c:pt>
                <c:pt idx="18">
                  <c:v>117130</c:v>
                </c:pt>
                <c:pt idx="19">
                  <c:v>2</c:v>
                </c:pt>
                <c:pt idx="20">
                  <c:v>2342600</c:v>
                </c:pt>
                <c:pt idx="21">
                  <c:v>78546</c:v>
                </c:pt>
                <c:pt idx="22">
                  <c:v>1</c:v>
                </c:pt>
                <c:pt idx="23">
                  <c:v>785460</c:v>
                </c:pt>
                <c:pt idx="24">
                  <c:v>6078040</c:v>
                </c:pt>
              </c:numCache>
            </c:numRef>
          </c:val>
        </c:ser>
        <c:ser>
          <c:idx val="8"/>
          <c:order val="8"/>
          <c:tx>
            <c:strRef>
              <c:f>'Ap. 2 Ingresos C. Benef.'!$L$7:$L$15</c:f>
              <c:strCache>
                <c:ptCount val="1"/>
                <c:pt idx="0">
                  <c:v>RESUMEN DE INGRESOS Y COSTOS DE LOS CENTROS DE BENEFICIO EDUCACIONALES EXCEDENTE -$27.015.971  ACTIVO GM. -$ 27.015.971  MEDIA JORNADA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Benef.'!$L$16:$L$40</c:f>
              <c:numCache>
                <c:ptCount val="25"/>
                <c:pt idx="0">
                  <c:v>94128</c:v>
                </c:pt>
                <c:pt idx="1">
                  <c:v>0</c:v>
                </c:pt>
                <c:pt idx="2">
                  <c:v>0</c:v>
                </c:pt>
                <c:pt idx="3">
                  <c:v>48972</c:v>
                </c:pt>
                <c:pt idx="4">
                  <c:v>0</c:v>
                </c:pt>
                <c:pt idx="5">
                  <c:v>0</c:v>
                </c:pt>
                <c:pt idx="6">
                  <c:v>7500</c:v>
                </c:pt>
                <c:pt idx="7">
                  <c:v>1</c:v>
                </c:pt>
                <c:pt idx="8">
                  <c:v>75000</c:v>
                </c:pt>
                <c:pt idx="9">
                  <c:v>21501</c:v>
                </c:pt>
                <c:pt idx="10">
                  <c:v>2</c:v>
                </c:pt>
                <c:pt idx="11">
                  <c:v>430020</c:v>
                </c:pt>
                <c:pt idx="12">
                  <c:v>12543</c:v>
                </c:pt>
                <c:pt idx="13">
                  <c:v>1</c:v>
                </c:pt>
                <c:pt idx="14">
                  <c:v>125430</c:v>
                </c:pt>
                <c:pt idx="15">
                  <c:v>69642</c:v>
                </c:pt>
                <c:pt idx="16">
                  <c:v>3</c:v>
                </c:pt>
                <c:pt idx="17">
                  <c:v>2089260</c:v>
                </c:pt>
                <c:pt idx="18">
                  <c:v>102290</c:v>
                </c:pt>
                <c:pt idx="19">
                  <c:v>3</c:v>
                </c:pt>
                <c:pt idx="20">
                  <c:v>3068700</c:v>
                </c:pt>
                <c:pt idx="21">
                  <c:v>69642</c:v>
                </c:pt>
                <c:pt idx="22">
                  <c:v>2</c:v>
                </c:pt>
                <c:pt idx="23">
                  <c:v>1392840</c:v>
                </c:pt>
                <c:pt idx="24">
                  <c:v>6550800</c:v>
                </c:pt>
              </c:numCache>
            </c:numRef>
          </c:val>
        </c:ser>
        <c:ser>
          <c:idx val="9"/>
          <c:order val="9"/>
          <c:tx>
            <c:strRef>
              <c:f>'Ap. 2 Ingresos C. Benef.'!$M$7:$M$15</c:f>
              <c:strCache>
                <c:ptCount val="1"/>
                <c:pt idx="0">
                  <c:v>RESUMEN DE INGRESOS Y COSTOS DE LOS CENTROS DE BENEFICIO EDUCACIONALES -$20.015.971  CENTRO BUS EXCEDENTE DALEGRÍA MEDIA JORNADA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Benef.'!$M$16:$M$40</c:f>
              <c:numCache>
                <c:ptCount val="25"/>
                <c:pt idx="0">
                  <c:v>117342</c:v>
                </c:pt>
                <c:pt idx="1">
                  <c:v>0</c:v>
                </c:pt>
                <c:pt idx="2">
                  <c:v>0</c:v>
                </c:pt>
                <c:pt idx="3">
                  <c:v>60738</c:v>
                </c:pt>
                <c:pt idx="4">
                  <c:v>0</c:v>
                </c:pt>
                <c:pt idx="5">
                  <c:v>0</c:v>
                </c:pt>
                <c:pt idx="6">
                  <c:v>7500</c:v>
                </c:pt>
                <c:pt idx="7">
                  <c:v>0</c:v>
                </c:pt>
                <c:pt idx="8">
                  <c:v>0</c:v>
                </c:pt>
                <c:pt idx="9">
                  <c:v>21501</c:v>
                </c:pt>
                <c:pt idx="10">
                  <c:v>0</c:v>
                </c:pt>
                <c:pt idx="11">
                  <c:v>0</c:v>
                </c:pt>
                <c:pt idx="12">
                  <c:v>12543</c:v>
                </c:pt>
                <c:pt idx="13">
                  <c:v>0</c:v>
                </c:pt>
                <c:pt idx="14">
                  <c:v>0</c:v>
                </c:pt>
                <c:pt idx="15">
                  <c:v>85012</c:v>
                </c:pt>
                <c:pt idx="16">
                  <c:v>0</c:v>
                </c:pt>
                <c:pt idx="17">
                  <c:v>0</c:v>
                </c:pt>
                <c:pt idx="18">
                  <c:v>119356</c:v>
                </c:pt>
                <c:pt idx="19">
                  <c:v>3</c:v>
                </c:pt>
                <c:pt idx="20">
                  <c:v>3580680</c:v>
                </c:pt>
                <c:pt idx="21">
                  <c:v>89994</c:v>
                </c:pt>
                <c:pt idx="22">
                  <c:v>2</c:v>
                </c:pt>
                <c:pt idx="23">
                  <c:v>1799880</c:v>
                </c:pt>
                <c:pt idx="24">
                  <c:v>5380560</c:v>
                </c:pt>
              </c:numCache>
            </c:numRef>
          </c:val>
        </c:ser>
        <c:ser>
          <c:idx val="10"/>
          <c:order val="10"/>
          <c:tx>
            <c:strRef>
              <c:f>'Ap. 2 Ingresos C. Benef.'!$N$7:$N$15</c:f>
              <c:strCache>
                <c:ptCount val="1"/>
                <c:pt idx="0">
                  <c:v>RESUMEN DE INGRESOS Y COSTOS DE LOS CENTROS DE BENEFICIO EDUCACIONALES -$20.015.971  -$ 27.015.971  -$ 71.024  -$ 27.086.995  MEDIA JORNADA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Benef.'!$N$16:$N$40</c:f>
              <c:numCache>
                <c:ptCount val="25"/>
                <c:pt idx="2">
                  <c:v>108406.2</c:v>
                </c:pt>
                <c:pt idx="5">
                  <c:v>10144.199999999999</c:v>
                </c:pt>
                <c:pt idx="8">
                  <c:v>90000</c:v>
                </c:pt>
                <c:pt idx="9">
                  <c:v>0</c:v>
                </c:pt>
                <c:pt idx="11">
                  <c:v>774036</c:v>
                </c:pt>
                <c:pt idx="14">
                  <c:v>150516</c:v>
                </c:pt>
                <c:pt idx="17">
                  <c:v>520947.6</c:v>
                </c:pt>
                <c:pt idx="20">
                  <c:v>402365.39999999997</c:v>
                </c:pt>
                <c:pt idx="23">
                  <c:v>154579.8</c:v>
                </c:pt>
                <c:pt idx="24">
                  <c:v>2210995.1999999997</c:v>
                </c:pt>
              </c:numCache>
            </c:numRef>
          </c:val>
        </c:ser>
        <c:ser>
          <c:idx val="11"/>
          <c:order val="11"/>
          <c:tx>
            <c:strRef>
              <c:f>'Ap. 2 Ingresos C. Benef.'!$O$7:$O$15</c:f>
              <c:strCache>
                <c:ptCount val="1"/>
                <c:pt idx="0">
                  <c:v>RESUMEN DE INGRESOS Y COSTOS DE LOS CENTROS DE BENEFICIO EDUCACIONALES -$20.015.971  -$ 27.015.971  -$ 71.024  -$ 27.086.995  MEDIA JORNADA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Benef.'!$O$16:$O$40</c:f>
              <c:numCache>
                <c:ptCount val="25"/>
                <c:pt idx="2">
                  <c:v>361354</c:v>
                </c:pt>
                <c:pt idx="5">
                  <c:v>33814</c:v>
                </c:pt>
                <c:pt idx="8">
                  <c:v>0</c:v>
                </c:pt>
                <c:pt idx="11">
                  <c:v>0</c:v>
                </c:pt>
                <c:pt idx="14">
                  <c:v>0</c:v>
                </c:pt>
                <c:pt idx="17">
                  <c:v>1736492</c:v>
                </c:pt>
                <c:pt idx="20">
                  <c:v>1341218</c:v>
                </c:pt>
                <c:pt idx="23">
                  <c:v>515266</c:v>
                </c:pt>
                <c:pt idx="24">
                  <c:v>3988144</c:v>
                </c:pt>
              </c:numCache>
            </c:numRef>
          </c:val>
        </c:ser>
        <c:ser>
          <c:idx val="12"/>
          <c:order val="12"/>
          <c:tx>
            <c:strRef>
              <c:f>'Ap. 2 Ingresos C. Benef.'!$P$7:$P$15</c:f>
              <c:strCache>
                <c:ptCount val="1"/>
                <c:pt idx="0">
                  <c:v>RESUMEN DE INGRESOS Y COSTOS DE LOS CENTROS DE BENEFICIO EDUCACIONALES -$20.015.971  APOYO INSTITUC. $ 29.224.000 -$ 27.086.995  MEDIA JORNADA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Benef.'!$P$16:$P$40</c:f>
              <c:numCache>
                <c:ptCount val="25"/>
                <c:pt idx="2">
                  <c:v>3613540</c:v>
                </c:pt>
                <c:pt idx="5">
                  <c:v>338140</c:v>
                </c:pt>
                <c:pt idx="8">
                  <c:v>300000</c:v>
                </c:pt>
                <c:pt idx="11">
                  <c:v>2580120</c:v>
                </c:pt>
                <c:pt idx="14">
                  <c:v>501720</c:v>
                </c:pt>
                <c:pt idx="17">
                  <c:v>17364920</c:v>
                </c:pt>
                <c:pt idx="20">
                  <c:v>13412180</c:v>
                </c:pt>
                <c:pt idx="23">
                  <c:v>5152660</c:v>
                </c:pt>
                <c:pt idx="24">
                  <c:v>43263280</c:v>
                </c:pt>
              </c:numCache>
            </c:numRef>
          </c:val>
        </c:ser>
        <c:ser>
          <c:idx val="13"/>
          <c:order val="13"/>
          <c:tx>
            <c:strRef>
              <c:f>'Ap. 2 Ingresos C. Benef.'!$Q$7:$Q$15</c:f>
              <c:strCache>
                <c:ptCount val="1"/>
                <c:pt idx="0">
                  <c:v>RESUMEN DE INGRESOS Y COSTOS DE LOS CENTROS DE BENEFICIO EDUCACIONALES -$20.015.971  ADICIONAL 2015 -$ 27.086.995 -$ 56.310.995 MEDIA JORNADA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Benef.'!$Q$16:$Q$40</c:f>
              <c:numCache>
                <c:ptCount val="25"/>
                <c:pt idx="2">
                  <c:v>4083300.2</c:v>
                </c:pt>
                <c:pt idx="5">
                  <c:v>382098.2</c:v>
                </c:pt>
                <c:pt idx="8">
                  <c:v>390000</c:v>
                </c:pt>
                <c:pt idx="11">
                  <c:v>3354156</c:v>
                </c:pt>
                <c:pt idx="14">
                  <c:v>652236</c:v>
                </c:pt>
                <c:pt idx="17">
                  <c:v>19622359.6</c:v>
                </c:pt>
                <c:pt idx="20">
                  <c:v>15155763.4</c:v>
                </c:pt>
                <c:pt idx="23">
                  <c:v>5822505.8</c:v>
                </c:pt>
                <c:pt idx="24">
                  <c:v>49462419.199999996</c:v>
                </c:pt>
              </c:numCache>
            </c:numRef>
          </c:val>
        </c:ser>
        <c:axId val="33940659"/>
        <c:axId val="37030476"/>
      </c:barChart>
      <c:catAx>
        <c:axId val="33940659"/>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37030476"/>
        <c:crosses val="autoZero"/>
        <c:auto val="1"/>
        <c:lblOffset val="100"/>
        <c:tickLblSkip val="1"/>
        <c:noMultiLvlLbl val="0"/>
      </c:catAx>
      <c:valAx>
        <c:axId val="37030476"/>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33940659"/>
        <c:crossesAt val="1"/>
        <c:crossBetween val="between"/>
        <c:dispUnits/>
      </c:valAx>
      <c:spPr>
        <a:solidFill>
          <a:srgbClr val="FFFFFF"/>
        </a:solidFill>
        <a:ln w="3175">
          <a:noFill/>
        </a:ln>
      </c:spPr>
    </c:plotArea>
    <c:legend>
      <c:legendPos val="r"/>
      <c:layout>
        <c:manualLayout>
          <c:xMode val="edge"/>
          <c:yMode val="edge"/>
          <c:x val="0.63075"/>
          <c:y val="0.07725"/>
          <c:w val="0.368"/>
          <c:h val="0.85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25"/>
          <c:w val="0.63"/>
          <c:h val="0.95175"/>
        </c:manualLayout>
      </c:layout>
      <c:barChart>
        <c:barDir val="col"/>
        <c:grouping val="clustered"/>
        <c:varyColors val="0"/>
        <c:ser>
          <c:idx val="0"/>
          <c:order val="0"/>
          <c:tx>
            <c:strRef>
              <c:f>'Ap. 2 Ingresos C. Benef.'!$D$7:$D$15</c:f>
              <c:strCache>
                <c:ptCount val="1"/>
                <c:pt idx="0">
                  <c:v>RESUMEN DE INGRESOS Y COSTOS DE LOS CENTROS DE BENEFICIO EDUCACIONALES ING. SOC $ 23.000.000 ACTIVO OFICIAL 1,06 MEDIA JORNADA Matrícula 1) PERSONAL SERVICIO ACTIVO: Oficiales/EE.CC., Otras Ramas FF.AA.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Benef.'!$D$16:$D$40</c:f>
              <c:numCache>
                <c:ptCount val="25"/>
                <c:pt idx="0">
                  <c:v>78652</c:v>
                </c:pt>
                <c:pt idx="1">
                  <c:v>1</c:v>
                </c:pt>
                <c:pt idx="2">
                  <c:v>78652</c:v>
                </c:pt>
                <c:pt idx="3">
                  <c:v>41234</c:v>
                </c:pt>
                <c:pt idx="4">
                  <c:v>0</c:v>
                </c:pt>
                <c:pt idx="5">
                  <c:v>0</c:v>
                </c:pt>
                <c:pt idx="6">
                  <c:v>0</c:v>
                </c:pt>
                <c:pt idx="7">
                  <c:v>0</c:v>
                </c:pt>
                <c:pt idx="8">
                  <c:v>0</c:v>
                </c:pt>
                <c:pt idx="9">
                  <c:v>0</c:v>
                </c:pt>
                <c:pt idx="10">
                  <c:v>0</c:v>
                </c:pt>
                <c:pt idx="11">
                  <c:v>0</c:v>
                </c:pt>
                <c:pt idx="12">
                  <c:v>0</c:v>
                </c:pt>
                <c:pt idx="13">
                  <c:v>0</c:v>
                </c:pt>
                <c:pt idx="14">
                  <c:v>0</c:v>
                </c:pt>
                <c:pt idx="15">
                  <c:v>58724</c:v>
                </c:pt>
                <c:pt idx="16">
                  <c:v>5</c:v>
                </c:pt>
                <c:pt idx="17">
                  <c:v>293620</c:v>
                </c:pt>
                <c:pt idx="18">
                  <c:v>86178</c:v>
                </c:pt>
                <c:pt idx="19">
                  <c:v>0</c:v>
                </c:pt>
                <c:pt idx="20">
                  <c:v>0</c:v>
                </c:pt>
                <c:pt idx="21">
                  <c:v>58724</c:v>
                </c:pt>
                <c:pt idx="22">
                  <c:v>2</c:v>
                </c:pt>
                <c:pt idx="23">
                  <c:v>117448</c:v>
                </c:pt>
                <c:pt idx="24">
                  <c:v>489720</c:v>
                </c:pt>
              </c:numCache>
            </c:numRef>
          </c:val>
        </c:ser>
        <c:ser>
          <c:idx val="1"/>
          <c:order val="1"/>
          <c:tx>
            <c:strRef>
              <c:f>'Ap. 2 Ingresos C. Benef.'!$E$7:$E$15</c:f>
              <c:strCache>
                <c:ptCount val="1"/>
                <c:pt idx="0">
                  <c:v>RESUMEN DE INGRESOS Y COSTOS DE LOS CENTROS DE BENEFICIO EDUCACIONALES ING. MATR.  $3.988.144  ACTIVO GM. 1,06 MEDIA JORNADA Matrícula 1) PERSONAL SERVICIO ACTIVO: GM., Otras ramas FF.AA.</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Benef.'!$E$16:$E$40</c:f>
              <c:numCache>
                <c:ptCount val="25"/>
                <c:pt idx="0">
                  <c:v>66250</c:v>
                </c:pt>
                <c:pt idx="1">
                  <c:v>1</c:v>
                </c:pt>
                <c:pt idx="2">
                  <c:v>66250</c:v>
                </c:pt>
                <c:pt idx="3">
                  <c:v>33814</c:v>
                </c:pt>
                <c:pt idx="4">
                  <c:v>1</c:v>
                </c:pt>
                <c:pt idx="5">
                  <c:v>33814</c:v>
                </c:pt>
                <c:pt idx="6">
                  <c:v>0</c:v>
                </c:pt>
                <c:pt idx="7">
                  <c:v>0</c:v>
                </c:pt>
                <c:pt idx="8">
                  <c:v>0</c:v>
                </c:pt>
                <c:pt idx="9">
                  <c:v>0</c:v>
                </c:pt>
                <c:pt idx="10">
                  <c:v>0</c:v>
                </c:pt>
                <c:pt idx="11">
                  <c:v>0</c:v>
                </c:pt>
                <c:pt idx="12">
                  <c:v>0</c:v>
                </c:pt>
                <c:pt idx="13">
                  <c:v>0</c:v>
                </c:pt>
                <c:pt idx="14">
                  <c:v>0</c:v>
                </c:pt>
                <c:pt idx="15">
                  <c:v>46216</c:v>
                </c:pt>
                <c:pt idx="16">
                  <c:v>25</c:v>
                </c:pt>
                <c:pt idx="17">
                  <c:v>1155400</c:v>
                </c:pt>
                <c:pt idx="18">
                  <c:v>73670</c:v>
                </c:pt>
                <c:pt idx="19">
                  <c:v>6</c:v>
                </c:pt>
                <c:pt idx="20">
                  <c:v>442020</c:v>
                </c:pt>
                <c:pt idx="21">
                  <c:v>52470</c:v>
                </c:pt>
                <c:pt idx="22">
                  <c:v>0</c:v>
                </c:pt>
                <c:pt idx="23">
                  <c:v>0</c:v>
                </c:pt>
                <c:pt idx="24">
                  <c:v>1697484</c:v>
                </c:pt>
              </c:numCache>
            </c:numRef>
          </c:val>
        </c:ser>
        <c:ser>
          <c:idx val="2"/>
          <c:order val="2"/>
          <c:tx>
            <c:strRef>
              <c:f>'Ap. 2 Ingresos C. Benef.'!$F$7:$F$15</c:f>
              <c:strCache>
                <c:ptCount val="1"/>
                <c:pt idx="0">
                  <c:v>RESUMEN DE INGRESOS Y COSTOS DE LOS CENTROS DE BENEFICIO EDUCACIONALES ING. MENS.  $43.263.280  ACTIVO GM. 1,06 MEDIA JORNADA Matrícula 2) PERSONAL EN RETIRO:                                 Oficiales/EE. CC</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Benef.'!$F$16:$F$40</c:f>
              <c:numCache>
                <c:ptCount val="25"/>
                <c:pt idx="0">
                  <c:v>108226</c:v>
                </c:pt>
                <c:pt idx="1">
                  <c:v>2</c:v>
                </c:pt>
                <c:pt idx="2">
                  <c:v>216452</c:v>
                </c:pt>
                <c:pt idx="3">
                  <c:v>54908</c:v>
                </c:pt>
                <c:pt idx="4">
                  <c:v>0</c:v>
                </c:pt>
                <c:pt idx="5">
                  <c:v>0</c:v>
                </c:pt>
                <c:pt idx="6">
                  <c:v>0</c:v>
                </c:pt>
                <c:pt idx="7">
                  <c:v>0</c:v>
                </c:pt>
                <c:pt idx="8">
                  <c:v>0</c:v>
                </c:pt>
                <c:pt idx="9">
                  <c:v>0</c:v>
                </c:pt>
                <c:pt idx="10">
                  <c:v>0</c:v>
                </c:pt>
                <c:pt idx="11">
                  <c:v>0</c:v>
                </c:pt>
                <c:pt idx="12">
                  <c:v>0</c:v>
                </c:pt>
                <c:pt idx="13">
                  <c:v>0</c:v>
                </c:pt>
                <c:pt idx="14">
                  <c:v>0</c:v>
                </c:pt>
                <c:pt idx="15">
                  <c:v>78546</c:v>
                </c:pt>
                <c:pt idx="16">
                  <c:v>1</c:v>
                </c:pt>
                <c:pt idx="17">
                  <c:v>78546</c:v>
                </c:pt>
                <c:pt idx="18">
                  <c:v>117130</c:v>
                </c:pt>
                <c:pt idx="19">
                  <c:v>2</c:v>
                </c:pt>
                <c:pt idx="20">
                  <c:v>234260</c:v>
                </c:pt>
                <c:pt idx="21">
                  <c:v>78546</c:v>
                </c:pt>
                <c:pt idx="22">
                  <c:v>1</c:v>
                </c:pt>
                <c:pt idx="23">
                  <c:v>78546</c:v>
                </c:pt>
                <c:pt idx="24">
                  <c:v>607804</c:v>
                </c:pt>
              </c:numCache>
            </c:numRef>
          </c:val>
        </c:ser>
        <c:ser>
          <c:idx val="3"/>
          <c:order val="3"/>
          <c:tx>
            <c:strRef>
              <c:f>'Ap. 2 Ingresos C. Benef.'!$G$7:$G$15</c:f>
              <c:strCache>
                <c:ptCount val="1"/>
                <c:pt idx="0">
                  <c:v>RESUMEN DE INGRESOS Y COSTOS DE LOS CENTROS DE BENEFICIO EDUCACIONALES ING.TOTAL  $102.562.419  ACTIVO GM. 1,06 MEDIA JORNADA Matrícula 2) PERSONAL EN RETIRO: GM</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Benef.'!$G$16:$G$40</c:f>
              <c:numCache>
                <c:ptCount val="25"/>
                <c:pt idx="0">
                  <c:v>94128</c:v>
                </c:pt>
                <c:pt idx="1">
                  <c:v>0</c:v>
                </c:pt>
                <c:pt idx="2">
                  <c:v>0</c:v>
                </c:pt>
                <c:pt idx="3">
                  <c:v>48972</c:v>
                </c:pt>
                <c:pt idx="4">
                  <c:v>0</c:v>
                </c:pt>
                <c:pt idx="5">
                  <c:v>0</c:v>
                </c:pt>
                <c:pt idx="6">
                  <c:v>0</c:v>
                </c:pt>
                <c:pt idx="7">
                  <c:v>0</c:v>
                </c:pt>
                <c:pt idx="8">
                  <c:v>0</c:v>
                </c:pt>
                <c:pt idx="9">
                  <c:v>0</c:v>
                </c:pt>
                <c:pt idx="10">
                  <c:v>0</c:v>
                </c:pt>
                <c:pt idx="11">
                  <c:v>0</c:v>
                </c:pt>
                <c:pt idx="12">
                  <c:v>0</c:v>
                </c:pt>
                <c:pt idx="13">
                  <c:v>0</c:v>
                </c:pt>
                <c:pt idx="14">
                  <c:v>0</c:v>
                </c:pt>
                <c:pt idx="15">
                  <c:v>69642</c:v>
                </c:pt>
                <c:pt idx="16">
                  <c:v>3</c:v>
                </c:pt>
                <c:pt idx="17">
                  <c:v>208926</c:v>
                </c:pt>
                <c:pt idx="18">
                  <c:v>102290</c:v>
                </c:pt>
                <c:pt idx="19">
                  <c:v>3</c:v>
                </c:pt>
                <c:pt idx="20">
                  <c:v>306870</c:v>
                </c:pt>
                <c:pt idx="21">
                  <c:v>69642</c:v>
                </c:pt>
                <c:pt idx="22">
                  <c:v>2</c:v>
                </c:pt>
                <c:pt idx="23">
                  <c:v>139284</c:v>
                </c:pt>
                <c:pt idx="24">
                  <c:v>655080</c:v>
                </c:pt>
              </c:numCache>
            </c:numRef>
          </c:val>
        </c:ser>
        <c:ser>
          <c:idx val="4"/>
          <c:order val="4"/>
          <c:tx>
            <c:strRef>
              <c:f>'Ap. 2 Ingresos C. Benef.'!$H$7:$H$15</c:f>
              <c:strCache>
                <c:ptCount val="1"/>
                <c:pt idx="0">
                  <c:v>RESUMEN DE INGRESOS Y COSTOS DE LOS CENTROS DE BENEFICIO EDUCACIONALES COSTOS DIR  $129.578.390  ACTIVO GM. EXCEDENTE ASISTENCIA MEDIA JORNADA Matrícula 3) CASOS ESPECIALES</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Benef.'!$H$16:$H$40</c:f>
              <c:numCache>
                <c:ptCount val="25"/>
                <c:pt idx="0">
                  <c:v>117342</c:v>
                </c:pt>
                <c:pt idx="1">
                  <c:v>0</c:v>
                </c:pt>
                <c:pt idx="2">
                  <c:v>0</c:v>
                </c:pt>
                <c:pt idx="3">
                  <c:v>60738</c:v>
                </c:pt>
                <c:pt idx="4">
                  <c:v>0</c:v>
                </c:pt>
                <c:pt idx="5">
                  <c:v>0</c:v>
                </c:pt>
                <c:pt idx="6">
                  <c:v>0</c:v>
                </c:pt>
                <c:pt idx="7">
                  <c:v>0</c:v>
                </c:pt>
                <c:pt idx="8">
                  <c:v>0</c:v>
                </c:pt>
                <c:pt idx="9">
                  <c:v>0</c:v>
                </c:pt>
                <c:pt idx="10">
                  <c:v>0</c:v>
                </c:pt>
                <c:pt idx="11">
                  <c:v>0</c:v>
                </c:pt>
                <c:pt idx="12">
                  <c:v>0</c:v>
                </c:pt>
                <c:pt idx="13">
                  <c:v>0</c:v>
                </c:pt>
                <c:pt idx="14">
                  <c:v>0</c:v>
                </c:pt>
                <c:pt idx="15">
                  <c:v>85012</c:v>
                </c:pt>
                <c:pt idx="16">
                  <c:v>0</c:v>
                </c:pt>
                <c:pt idx="17">
                  <c:v>0</c:v>
                </c:pt>
                <c:pt idx="18">
                  <c:v>119356</c:v>
                </c:pt>
                <c:pt idx="19">
                  <c:v>3</c:v>
                </c:pt>
                <c:pt idx="20">
                  <c:v>358068</c:v>
                </c:pt>
                <c:pt idx="21">
                  <c:v>89994</c:v>
                </c:pt>
                <c:pt idx="22">
                  <c:v>2</c:v>
                </c:pt>
                <c:pt idx="23">
                  <c:v>179988</c:v>
                </c:pt>
                <c:pt idx="24">
                  <c:v>538056</c:v>
                </c:pt>
              </c:numCache>
            </c:numRef>
          </c:val>
        </c:ser>
        <c:ser>
          <c:idx val="5"/>
          <c:order val="5"/>
          <c:tx>
            <c:strRef>
              <c:f>'Ap. 2 Ingresos C. Benef.'!$I$7:$I$15</c:f>
              <c:strCache>
                <c:ptCount val="1"/>
                <c:pt idx="0">
                  <c:v>RESUMEN DE INGRESOS Y COSTOS DE LOS CENTROS DE BENEFICIO EDUCACIONALES C.IND. Dp.  $-  ACTIVO GM. EXCEDENTE ASISTENCIA MEDIA JORNADA Mensualidad/Prestacion 1) PERSONAL SERVICIO ACTIVO: Oficiales/EE.CC., Otras Ramas FF.AA.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Benef.'!$I$16:$I$40</c:f>
              <c:numCache>
                <c:ptCount val="25"/>
                <c:pt idx="0">
                  <c:v>78652</c:v>
                </c:pt>
                <c:pt idx="1">
                  <c:v>1</c:v>
                </c:pt>
                <c:pt idx="2">
                  <c:v>786520</c:v>
                </c:pt>
                <c:pt idx="3">
                  <c:v>41234</c:v>
                </c:pt>
                <c:pt idx="4">
                  <c:v>0</c:v>
                </c:pt>
                <c:pt idx="5">
                  <c:v>0</c:v>
                </c:pt>
                <c:pt idx="6">
                  <c:v>7500</c:v>
                </c:pt>
                <c:pt idx="7">
                  <c:v>1</c:v>
                </c:pt>
                <c:pt idx="8">
                  <c:v>75000</c:v>
                </c:pt>
                <c:pt idx="9">
                  <c:v>21501</c:v>
                </c:pt>
                <c:pt idx="10">
                  <c:v>4</c:v>
                </c:pt>
                <c:pt idx="11">
                  <c:v>860040</c:v>
                </c:pt>
                <c:pt idx="12">
                  <c:v>12543</c:v>
                </c:pt>
                <c:pt idx="13">
                  <c:v>1</c:v>
                </c:pt>
                <c:pt idx="14">
                  <c:v>125430</c:v>
                </c:pt>
                <c:pt idx="15">
                  <c:v>58724</c:v>
                </c:pt>
                <c:pt idx="16">
                  <c:v>5</c:v>
                </c:pt>
                <c:pt idx="17">
                  <c:v>2936200</c:v>
                </c:pt>
                <c:pt idx="18">
                  <c:v>86178</c:v>
                </c:pt>
                <c:pt idx="19">
                  <c:v>0</c:v>
                </c:pt>
                <c:pt idx="20">
                  <c:v>0</c:v>
                </c:pt>
                <c:pt idx="21">
                  <c:v>58724</c:v>
                </c:pt>
                <c:pt idx="22">
                  <c:v>2</c:v>
                </c:pt>
                <c:pt idx="23">
                  <c:v>1174480</c:v>
                </c:pt>
                <c:pt idx="24">
                  <c:v>4897200</c:v>
                </c:pt>
              </c:numCache>
            </c:numRef>
          </c:val>
        </c:ser>
        <c:ser>
          <c:idx val="6"/>
          <c:order val="6"/>
          <c:tx>
            <c:strRef>
              <c:f>'Ap. 2 Ingresos C. Benef.'!$J$7:$J$15</c:f>
              <c:strCache>
                <c:ptCount val="1"/>
                <c:pt idx="0">
                  <c:v>RESUMEN DE INGRESOS Y COSTOS DE LOS CENTROS DE BENEFICIO EDUCACIONALES C. TOTAL  $129.578.390  ACTIVO GM. -$ 27.015.971  MEDIA JORNADA Mensualidad/Prestacion 1) PERSONAL SERVICIO ACTIVO: GM., Otras ramas FF.AA.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Benef.'!$J$16:$J$40</c:f>
              <c:numCache>
                <c:ptCount val="25"/>
                <c:pt idx="0">
                  <c:v>66250</c:v>
                </c:pt>
                <c:pt idx="1">
                  <c:v>1</c:v>
                </c:pt>
                <c:pt idx="2">
                  <c:v>662500</c:v>
                </c:pt>
                <c:pt idx="3">
                  <c:v>33814</c:v>
                </c:pt>
                <c:pt idx="4">
                  <c:v>1</c:v>
                </c:pt>
                <c:pt idx="5">
                  <c:v>338140</c:v>
                </c:pt>
                <c:pt idx="6">
                  <c:v>7500</c:v>
                </c:pt>
                <c:pt idx="7">
                  <c:v>2</c:v>
                </c:pt>
                <c:pt idx="8">
                  <c:v>150000</c:v>
                </c:pt>
                <c:pt idx="9">
                  <c:v>21501</c:v>
                </c:pt>
                <c:pt idx="10">
                  <c:v>6</c:v>
                </c:pt>
                <c:pt idx="11">
                  <c:v>1290060</c:v>
                </c:pt>
                <c:pt idx="12">
                  <c:v>12543</c:v>
                </c:pt>
                <c:pt idx="13">
                  <c:v>2</c:v>
                </c:pt>
                <c:pt idx="14">
                  <c:v>250860</c:v>
                </c:pt>
                <c:pt idx="15">
                  <c:v>46216</c:v>
                </c:pt>
                <c:pt idx="16">
                  <c:v>25</c:v>
                </c:pt>
                <c:pt idx="17">
                  <c:v>11554000</c:v>
                </c:pt>
                <c:pt idx="18">
                  <c:v>73670</c:v>
                </c:pt>
                <c:pt idx="19">
                  <c:v>6</c:v>
                </c:pt>
                <c:pt idx="20">
                  <c:v>4420200</c:v>
                </c:pt>
                <c:pt idx="21">
                  <c:v>52470</c:v>
                </c:pt>
                <c:pt idx="22">
                  <c:v>0</c:v>
                </c:pt>
                <c:pt idx="23">
                  <c:v>0</c:v>
                </c:pt>
                <c:pt idx="24">
                  <c:v>16974840</c:v>
                </c:pt>
              </c:numCache>
            </c:numRef>
          </c:val>
        </c:ser>
        <c:ser>
          <c:idx val="7"/>
          <c:order val="7"/>
          <c:tx>
            <c:strRef>
              <c:f>'Ap. 2 Ingresos C. Benef.'!$K$7:$K$15</c:f>
              <c:strCache>
                <c:ptCount val="1"/>
                <c:pt idx="0">
                  <c:v>RESUMEN DE INGRESOS Y COSTOS DE LOS CENTROS DE BENEFICIO EDUCACIONALES EXCEDENTE -$27.015.971  ACTIVO GM. -$ 27.015.971  MEDIA JORNADA Mensualidad/Prestacion 2) PERSONAL EN RETIRO:                                 Oficiales/EE. CC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Benef.'!$K$16:$K$40</c:f>
              <c:numCache>
                <c:ptCount val="25"/>
                <c:pt idx="0">
                  <c:v>108226</c:v>
                </c:pt>
                <c:pt idx="1">
                  <c:v>2</c:v>
                </c:pt>
                <c:pt idx="2">
                  <c:v>2164520</c:v>
                </c:pt>
                <c:pt idx="3">
                  <c:v>54908</c:v>
                </c:pt>
                <c:pt idx="4">
                  <c:v>0</c:v>
                </c:pt>
                <c:pt idx="5">
                  <c:v>0</c:v>
                </c:pt>
                <c:pt idx="6">
                  <c:v>7500</c:v>
                </c:pt>
                <c:pt idx="7">
                  <c:v>0</c:v>
                </c:pt>
                <c:pt idx="8">
                  <c:v>0</c:v>
                </c:pt>
                <c:pt idx="9">
                  <c:v>21501</c:v>
                </c:pt>
                <c:pt idx="10">
                  <c:v>0</c:v>
                </c:pt>
                <c:pt idx="11">
                  <c:v>0</c:v>
                </c:pt>
                <c:pt idx="12">
                  <c:v>12543</c:v>
                </c:pt>
                <c:pt idx="13">
                  <c:v>0</c:v>
                </c:pt>
                <c:pt idx="14">
                  <c:v>0</c:v>
                </c:pt>
                <c:pt idx="15">
                  <c:v>78546</c:v>
                </c:pt>
                <c:pt idx="16">
                  <c:v>1</c:v>
                </c:pt>
                <c:pt idx="17">
                  <c:v>785460</c:v>
                </c:pt>
                <c:pt idx="18">
                  <c:v>117130</c:v>
                </c:pt>
                <c:pt idx="19">
                  <c:v>2</c:v>
                </c:pt>
                <c:pt idx="20">
                  <c:v>2342600</c:v>
                </c:pt>
                <c:pt idx="21">
                  <c:v>78546</c:v>
                </c:pt>
                <c:pt idx="22">
                  <c:v>1</c:v>
                </c:pt>
                <c:pt idx="23">
                  <c:v>785460</c:v>
                </c:pt>
                <c:pt idx="24">
                  <c:v>6078040</c:v>
                </c:pt>
              </c:numCache>
            </c:numRef>
          </c:val>
        </c:ser>
        <c:ser>
          <c:idx val="8"/>
          <c:order val="8"/>
          <c:tx>
            <c:strRef>
              <c:f>'Ap. 2 Ingresos C. Benef.'!$L$7:$L$15</c:f>
              <c:strCache>
                <c:ptCount val="1"/>
                <c:pt idx="0">
                  <c:v>RESUMEN DE INGRESOS Y COSTOS DE LOS CENTROS DE BENEFICIO EDUCACIONALES EXCEDENTE -$27.015.971  ACTIVO GM. -$ 27.015.971  MEDIA JORNADA Mensualidad/Prestacion 2) PERSONAL EN RETIRO: GM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Benef.'!$L$16:$L$40</c:f>
              <c:numCache>
                <c:ptCount val="25"/>
                <c:pt idx="0">
                  <c:v>94128</c:v>
                </c:pt>
                <c:pt idx="1">
                  <c:v>0</c:v>
                </c:pt>
                <c:pt idx="2">
                  <c:v>0</c:v>
                </c:pt>
                <c:pt idx="3">
                  <c:v>48972</c:v>
                </c:pt>
                <c:pt idx="4">
                  <c:v>0</c:v>
                </c:pt>
                <c:pt idx="5">
                  <c:v>0</c:v>
                </c:pt>
                <c:pt idx="6">
                  <c:v>7500</c:v>
                </c:pt>
                <c:pt idx="7">
                  <c:v>1</c:v>
                </c:pt>
                <c:pt idx="8">
                  <c:v>75000</c:v>
                </c:pt>
                <c:pt idx="9">
                  <c:v>21501</c:v>
                </c:pt>
                <c:pt idx="10">
                  <c:v>2</c:v>
                </c:pt>
                <c:pt idx="11">
                  <c:v>430020</c:v>
                </c:pt>
                <c:pt idx="12">
                  <c:v>12543</c:v>
                </c:pt>
                <c:pt idx="13">
                  <c:v>1</c:v>
                </c:pt>
                <c:pt idx="14">
                  <c:v>125430</c:v>
                </c:pt>
                <c:pt idx="15">
                  <c:v>69642</c:v>
                </c:pt>
                <c:pt idx="16">
                  <c:v>3</c:v>
                </c:pt>
                <c:pt idx="17">
                  <c:v>2089260</c:v>
                </c:pt>
                <c:pt idx="18">
                  <c:v>102290</c:v>
                </c:pt>
                <c:pt idx="19">
                  <c:v>3</c:v>
                </c:pt>
                <c:pt idx="20">
                  <c:v>3068700</c:v>
                </c:pt>
                <c:pt idx="21">
                  <c:v>69642</c:v>
                </c:pt>
                <c:pt idx="22">
                  <c:v>2</c:v>
                </c:pt>
                <c:pt idx="23">
                  <c:v>1392840</c:v>
                </c:pt>
                <c:pt idx="24">
                  <c:v>6550800</c:v>
                </c:pt>
              </c:numCache>
            </c:numRef>
          </c:val>
        </c:ser>
        <c:ser>
          <c:idx val="9"/>
          <c:order val="9"/>
          <c:tx>
            <c:strRef>
              <c:f>'Ap. 2 Ingresos C. Benef.'!$M$7:$M$15</c:f>
              <c:strCache>
                <c:ptCount val="1"/>
                <c:pt idx="0">
                  <c:v>RESUMEN DE INGRESOS Y COSTOS DE LOS CENTROS DE BENEFICIO EDUCACIONALES -$20.015.971  CENTRO BUS EXCEDENTE DALEGRÍA MEDIA JORNADA Mensualidad/Prestacion 3) CASOS ESPECIALES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Benef.'!$M$16:$M$40</c:f>
              <c:numCache>
                <c:ptCount val="25"/>
                <c:pt idx="0">
                  <c:v>117342</c:v>
                </c:pt>
                <c:pt idx="1">
                  <c:v>0</c:v>
                </c:pt>
                <c:pt idx="2">
                  <c:v>0</c:v>
                </c:pt>
                <c:pt idx="3">
                  <c:v>60738</c:v>
                </c:pt>
                <c:pt idx="4">
                  <c:v>0</c:v>
                </c:pt>
                <c:pt idx="5">
                  <c:v>0</c:v>
                </c:pt>
                <c:pt idx="6">
                  <c:v>7500</c:v>
                </c:pt>
                <c:pt idx="7">
                  <c:v>0</c:v>
                </c:pt>
                <c:pt idx="8">
                  <c:v>0</c:v>
                </c:pt>
                <c:pt idx="9">
                  <c:v>21501</c:v>
                </c:pt>
                <c:pt idx="10">
                  <c:v>0</c:v>
                </c:pt>
                <c:pt idx="11">
                  <c:v>0</c:v>
                </c:pt>
                <c:pt idx="12">
                  <c:v>12543</c:v>
                </c:pt>
                <c:pt idx="13">
                  <c:v>0</c:v>
                </c:pt>
                <c:pt idx="14">
                  <c:v>0</c:v>
                </c:pt>
                <c:pt idx="15">
                  <c:v>85012</c:v>
                </c:pt>
                <c:pt idx="16">
                  <c:v>0</c:v>
                </c:pt>
                <c:pt idx="17">
                  <c:v>0</c:v>
                </c:pt>
                <c:pt idx="18">
                  <c:v>119356</c:v>
                </c:pt>
                <c:pt idx="19">
                  <c:v>3</c:v>
                </c:pt>
                <c:pt idx="20">
                  <c:v>3580680</c:v>
                </c:pt>
                <c:pt idx="21">
                  <c:v>89994</c:v>
                </c:pt>
                <c:pt idx="22">
                  <c:v>2</c:v>
                </c:pt>
                <c:pt idx="23">
                  <c:v>1799880</c:v>
                </c:pt>
                <c:pt idx="24">
                  <c:v>5380560</c:v>
                </c:pt>
              </c:numCache>
            </c:numRef>
          </c:val>
        </c:ser>
        <c:ser>
          <c:idx val="10"/>
          <c:order val="10"/>
          <c:tx>
            <c:strRef>
              <c:f>'Ap. 2 Ingresos C. Benef.'!$N$7:$N$15</c:f>
              <c:strCache>
                <c:ptCount val="1"/>
                <c:pt idx="0">
                  <c:v>RESUMEN DE INGRESOS Y COSTOS DE LOS CENTROS DE BENEFICIO EDUCACIONALES -$20.015.971  -$ 27.015.971  -$ 71.024  -$ 27.086.995  MEDIA JORNADA MENSUALID. ENERO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Benef.'!$N$16:$N$40</c:f>
              <c:numCache>
                <c:ptCount val="25"/>
                <c:pt idx="2">
                  <c:v>108406.2</c:v>
                </c:pt>
                <c:pt idx="5">
                  <c:v>10144.199999999999</c:v>
                </c:pt>
                <c:pt idx="8">
                  <c:v>90000</c:v>
                </c:pt>
                <c:pt idx="9">
                  <c:v>0</c:v>
                </c:pt>
                <c:pt idx="11">
                  <c:v>774036</c:v>
                </c:pt>
                <c:pt idx="14">
                  <c:v>150516</c:v>
                </c:pt>
                <c:pt idx="17">
                  <c:v>520947.6</c:v>
                </c:pt>
                <c:pt idx="20">
                  <c:v>402365.39999999997</c:v>
                </c:pt>
                <c:pt idx="23">
                  <c:v>154579.8</c:v>
                </c:pt>
                <c:pt idx="24">
                  <c:v>2210995.1999999997</c:v>
                </c:pt>
              </c:numCache>
            </c:numRef>
          </c:val>
        </c:ser>
        <c:ser>
          <c:idx val="11"/>
          <c:order val="11"/>
          <c:tx>
            <c:strRef>
              <c:f>'Ap. 2 Ingresos C. Benef.'!$O$7:$O$15</c:f>
              <c:strCache>
                <c:ptCount val="1"/>
                <c:pt idx="0">
                  <c:v>RESUMEN DE INGRESOS Y COSTOS DE LOS CENTROS DE BENEFICIO EDUCACIONALES -$20.015.971  -$ 27.015.971  -$ 71.024  -$ 27.086.995  MEDIA JORNADA MENSUALID. Ingresos
Matrícula</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Benef.'!$O$16:$O$40</c:f>
              <c:numCache>
                <c:ptCount val="25"/>
                <c:pt idx="2">
                  <c:v>361354</c:v>
                </c:pt>
                <c:pt idx="5">
                  <c:v>33814</c:v>
                </c:pt>
                <c:pt idx="8">
                  <c:v>0</c:v>
                </c:pt>
                <c:pt idx="11">
                  <c:v>0</c:v>
                </c:pt>
                <c:pt idx="14">
                  <c:v>0</c:v>
                </c:pt>
                <c:pt idx="17">
                  <c:v>1736492</c:v>
                </c:pt>
                <c:pt idx="20">
                  <c:v>1341218</c:v>
                </c:pt>
                <c:pt idx="23">
                  <c:v>515266</c:v>
                </c:pt>
                <c:pt idx="24">
                  <c:v>3988144</c:v>
                </c:pt>
              </c:numCache>
            </c:numRef>
          </c:val>
        </c:ser>
        <c:ser>
          <c:idx val="12"/>
          <c:order val="12"/>
          <c:tx>
            <c:strRef>
              <c:f>'Ap. 2 Ingresos C. Benef.'!$P$7:$P$15</c:f>
              <c:strCache>
                <c:ptCount val="1"/>
                <c:pt idx="0">
                  <c:v>RESUMEN DE INGRESOS Y COSTOS DE LOS CENTROS DE BENEFICIO EDUCACIONALES -$20.015.971  APOYO INSTITUC. $ 29.224.000 -$ 27.086.995  MEDIA JORNADA MENSUALID. Ingresos
Mensualidad</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Benef.'!$P$16:$P$40</c:f>
              <c:numCache>
                <c:ptCount val="25"/>
                <c:pt idx="2">
                  <c:v>3613540</c:v>
                </c:pt>
                <c:pt idx="5">
                  <c:v>338140</c:v>
                </c:pt>
                <c:pt idx="8">
                  <c:v>300000</c:v>
                </c:pt>
                <c:pt idx="11">
                  <c:v>2580120</c:v>
                </c:pt>
                <c:pt idx="14">
                  <c:v>501720</c:v>
                </c:pt>
                <c:pt idx="17">
                  <c:v>17364920</c:v>
                </c:pt>
                <c:pt idx="20">
                  <c:v>13412180</c:v>
                </c:pt>
                <c:pt idx="23">
                  <c:v>5152660</c:v>
                </c:pt>
                <c:pt idx="24">
                  <c:v>43263280</c:v>
                </c:pt>
              </c:numCache>
            </c:numRef>
          </c:val>
        </c:ser>
        <c:ser>
          <c:idx val="13"/>
          <c:order val="13"/>
          <c:tx>
            <c:strRef>
              <c:f>'Ap. 2 Ingresos C. Benef.'!$Q$7:$Q$15</c:f>
              <c:strCache>
                <c:ptCount val="1"/>
                <c:pt idx="0">
                  <c:v>RESUMEN DE INGRESOS Y COSTOS DE LOS CENTROS DE BENEFICIO EDUCACIONALES -$20.015.971  ADICIONAL 2015 -$ 27.086.995 -$ 56.310.995 MEDIA JORNADA MENSUALID. Total Anual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'Ap. 2 Ingresos C. Benef.'!$A$16:$C$40</c:f>
              <c:multiLvlStrCache>
                <c:ptCount val="25"/>
                <c:lvl>
                  <c:pt idx="0">
                    <c:v>Tarifa [$/U]</c:v>
                  </c:pt>
                  <c:pt idx="1">
                    <c:v>Unid. Anuales [Nr]</c:v>
                  </c:pt>
                  <c:pt idx="2">
                    <c:v>Ingreso Anual [$]</c:v>
                  </c:pt>
                  <c:pt idx="3">
                    <c:v>Tarifa [$/U]</c:v>
                  </c:pt>
                  <c:pt idx="4">
                    <c:v>Unid. Anuales [Nr]</c:v>
                  </c:pt>
                  <c:pt idx="5">
                    <c:v>Ingreso Anual [$]</c:v>
                  </c:pt>
                  <c:pt idx="6">
                    <c:v>Tarifa [$/U]</c:v>
                  </c:pt>
                  <c:pt idx="7">
                    <c:v>Unid. Anuales [Nr]</c:v>
                  </c:pt>
                  <c:pt idx="8">
                    <c:v>Ingreso Anual [$]</c:v>
                  </c:pt>
                  <c:pt idx="9">
                    <c:v>Tarifa [$/U]</c:v>
                  </c:pt>
                  <c:pt idx="10">
                    <c:v>Unid. Anuales [Nr]</c:v>
                  </c:pt>
                  <c:pt idx="11">
                    <c:v>Ingreso Anual [$]</c:v>
                  </c:pt>
                  <c:pt idx="12">
                    <c:v>Tarifa [$/U]</c:v>
                  </c:pt>
                  <c:pt idx="13">
                    <c:v>Unid. Anuales [Nr]</c:v>
                  </c:pt>
                  <c:pt idx="14">
                    <c:v>Ingreso Anual [$]</c:v>
                  </c:pt>
                  <c:pt idx="15">
                    <c:v>Tarifa [$/U]</c:v>
                  </c:pt>
                  <c:pt idx="16">
                    <c:v>Unid. Anuales [Nr]</c:v>
                  </c:pt>
                  <c:pt idx="17">
                    <c:v>Ingreso Anual [$]</c:v>
                  </c:pt>
                  <c:pt idx="18">
                    <c:v>Tarifa [$/U]</c:v>
                  </c:pt>
                  <c:pt idx="19">
                    <c:v>Unid. Anuales [Nr]</c:v>
                  </c:pt>
                  <c:pt idx="20">
                    <c:v>Ingreso Anual [$]</c:v>
                  </c:pt>
                  <c:pt idx="21">
                    <c:v>Tarifa [$/U]</c:v>
                  </c:pt>
                  <c:pt idx="22">
                    <c:v>Unid. Anuales [Nr]</c:v>
                  </c:pt>
                  <c:pt idx="23">
                    <c:v>Ingreso Anual [$]</c:v>
                  </c:pt>
                  <c:pt idx="24">
                    <c:v>Ing. Tot. Anual[$]</c:v>
                  </c:pt>
                </c:lvl>
                <c:lvl>
                  <c:pt idx="0">
                    <c:v>4</c:v>
                  </c:pt>
                  <c:pt idx="3">
                    <c:v>1</c:v>
                  </c:pt>
                  <c:pt idx="6">
                    <c:v>4</c:v>
                  </c:pt>
                  <c:pt idx="9">
                    <c:v>12</c:v>
                  </c:pt>
                  <c:pt idx="12">
                    <c:v>4</c:v>
                  </c:pt>
                  <c:pt idx="15">
                    <c:v>34</c:v>
                  </c:pt>
                  <c:pt idx="18">
                    <c:v>14</c:v>
                  </c:pt>
                  <c:pt idx="21">
                    <c:v>7</c:v>
                  </c:pt>
                  <c:pt idx="24">
                    <c:v>60</c:v>
                  </c:pt>
                </c:lvl>
                <c:lvl>
                  <c:pt idx="0">
                    <c:v>JORNADA COMPLETA (con alim.)</c:v>
                  </c:pt>
                  <c:pt idx="3">
                    <c:v>MEDIA JORNADA (con alim.)</c:v>
                  </c:pt>
                  <c:pt idx="6">
                    <c:v>Programa Especial (atención ambulatoria CONVENIO DIRECSAN)KINESIOLOGIA</c:v>
                  </c:pt>
                  <c:pt idx="9">
                    <c:v>Programa Especial (atención ambulatoria CONVENIO DIRECSAN)FONOAUDIOLOGIA</c:v>
                  </c:pt>
                  <c:pt idx="12">
                    <c:v>Programa Especial (atención ambulatoria CONVENIO DIRECSAN)PSICOLOGIA</c:v>
                  </c:pt>
                  <c:pt idx="15">
                    <c:v>Programa Especial (atención ambulatoria)</c:v>
                  </c:pt>
                  <c:pt idx="18">
                    <c:v>Modalidad  Escolar  Y Talleres pm  (jornada completa c/alim.)</c:v>
                  </c:pt>
                  <c:pt idx="21">
                    <c:v>Modalidad Escolar  media jornada (c/alim.)</c:v>
                  </c:pt>
                  <c:pt idx="24">
                    <c:v>TOTAL DALEGRÍA</c:v>
                  </c:pt>
                </c:lvl>
              </c:multiLvlStrCache>
            </c:multiLvlStrRef>
          </c:cat>
          <c:val>
            <c:numRef>
              <c:f>'Ap. 2 Ingresos C. Benef.'!$Q$16:$Q$40</c:f>
              <c:numCache>
                <c:ptCount val="25"/>
                <c:pt idx="2">
                  <c:v>4083300.2</c:v>
                </c:pt>
                <c:pt idx="5">
                  <c:v>382098.2</c:v>
                </c:pt>
                <c:pt idx="8">
                  <c:v>390000</c:v>
                </c:pt>
                <c:pt idx="11">
                  <c:v>3354156</c:v>
                </c:pt>
                <c:pt idx="14">
                  <c:v>652236</c:v>
                </c:pt>
                <c:pt idx="17">
                  <c:v>19622359.6</c:v>
                </c:pt>
                <c:pt idx="20">
                  <c:v>15155763.4</c:v>
                </c:pt>
                <c:pt idx="23">
                  <c:v>5822505.8</c:v>
                </c:pt>
                <c:pt idx="24">
                  <c:v>49462419.199999996</c:v>
                </c:pt>
              </c:numCache>
            </c:numRef>
          </c:val>
        </c:ser>
        <c:axId val="64838829"/>
        <c:axId val="46678550"/>
      </c:barChart>
      <c:catAx>
        <c:axId val="64838829"/>
        <c:scaling>
          <c:orientation val="minMax"/>
        </c:scaling>
        <c:axPos val="b"/>
        <c:delete val="0"/>
        <c:numFmt formatCode="General" sourceLinked="1"/>
        <c:majorTickMark val="out"/>
        <c:minorTickMark val="none"/>
        <c:tickLblPos val="nextTo"/>
        <c:spPr>
          <a:ln w="3175">
            <a:solidFill>
              <a:srgbClr val="909090"/>
            </a:solidFill>
          </a:ln>
        </c:spPr>
        <c:txPr>
          <a:bodyPr vert="horz" rot="-5400000"/>
          <a:lstStyle/>
          <a:p>
            <a:pPr>
              <a:defRPr lang="en-US" cap="none" sz="1000" b="0" i="0" u="none" baseline="0">
                <a:solidFill>
                  <a:srgbClr val="000000"/>
                </a:solidFill>
              </a:defRPr>
            </a:pPr>
          </a:p>
        </c:txPr>
        <c:crossAx val="46678550"/>
        <c:crosses val="autoZero"/>
        <c:auto val="1"/>
        <c:lblOffset val="100"/>
        <c:tickLblSkip val="1"/>
        <c:noMultiLvlLbl val="0"/>
      </c:catAx>
      <c:valAx>
        <c:axId val="46678550"/>
        <c:scaling>
          <c:orientation val="minMax"/>
        </c:scaling>
        <c:axPos val="l"/>
        <c:majorGridlines>
          <c:spPr>
            <a:ln w="3175">
              <a:solidFill>
                <a:srgbClr val="909090"/>
              </a:solidFill>
            </a:ln>
          </c:spPr>
        </c:majorGridlines>
        <c:delete val="0"/>
        <c:numFmt formatCode="General" sourceLinked="1"/>
        <c:majorTickMark val="out"/>
        <c:minorTickMark val="none"/>
        <c:tickLblPos val="nextTo"/>
        <c:spPr>
          <a:ln w="3175">
            <a:solidFill>
              <a:srgbClr val="909090"/>
            </a:solidFill>
          </a:ln>
        </c:spPr>
        <c:crossAx val="64838829"/>
        <c:crossesAt val="1"/>
        <c:crossBetween val="between"/>
        <c:dispUnits/>
      </c:valAx>
      <c:spPr>
        <a:solidFill>
          <a:srgbClr val="FFFFFF"/>
        </a:solidFill>
        <a:ln w="3175">
          <a:noFill/>
        </a:ln>
      </c:spPr>
    </c:plotArea>
    <c:legend>
      <c:legendPos val="r"/>
      <c:layout>
        <c:manualLayout>
          <c:xMode val="edge"/>
          <c:yMode val="edge"/>
          <c:x val="0.61725"/>
          <c:y val="0"/>
          <c:w val="0.37575"/>
          <c:h val="0.91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90909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24875" cy="56007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9626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752475</xdr:colOff>
      <xdr:row>12</xdr:row>
      <xdr:rowOff>76200</xdr:rowOff>
    </xdr:to>
    <xdr:sp fLocksText="0">
      <xdr:nvSpPr>
        <xdr:cNvPr id="1" name="Text 1"/>
        <xdr:cNvSpPr txBox="1">
          <a:spLocks noChangeArrowheads="1"/>
        </xdr:cNvSpPr>
      </xdr:nvSpPr>
      <xdr:spPr>
        <a:xfrm>
          <a:off x="38100" y="1143000"/>
          <a:ext cx="8086725" cy="895350"/>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VISI&#211;N%20BUS%20DALEGRIA%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9">
          <cell r="J9">
            <v>-71024.06520000007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40"/>
  <sheetViews>
    <sheetView showGridLines="0" tabSelected="1" zoomScale="70" zoomScaleNormal="70" zoomScalePageLayoutView="0" workbookViewId="0" topLeftCell="A7">
      <pane xSplit="1" topLeftCell="B1" activePane="topRight" state="frozen"/>
      <selection pane="topLeft" activeCell="A8" sqref="A8"/>
      <selection pane="topRight" activeCell="O12" sqref="O12"/>
    </sheetView>
  </sheetViews>
  <sheetFormatPr defaultColWidth="11.421875" defaultRowHeight="12.75"/>
  <cols>
    <col min="1" max="1" width="36.28125" style="1" customWidth="1"/>
    <col min="2" max="2" width="13.7109375" style="1" customWidth="1"/>
    <col min="3" max="3" width="12.57421875" style="1" customWidth="1"/>
    <col min="4" max="4" width="20.7109375" style="1" bestFit="1" customWidth="1"/>
    <col min="5" max="5" width="16.421875" style="1" customWidth="1"/>
    <col min="6" max="6" width="14.7109375" style="1" customWidth="1"/>
    <col min="7" max="7" width="16.140625" style="1" customWidth="1"/>
    <col min="8" max="8" width="16.57421875" style="1" customWidth="1"/>
    <col min="9" max="9" width="15.7109375" style="1" customWidth="1"/>
    <col min="10" max="10" width="20.140625" style="1" bestFit="1" customWidth="1"/>
    <col min="11" max="11" width="16.00390625" style="1" customWidth="1"/>
    <col min="12" max="12" width="17.140625" style="1" customWidth="1"/>
    <col min="13" max="13" width="19.57421875" style="1" customWidth="1"/>
    <col min="14" max="14" width="14.8515625" style="1" customWidth="1"/>
    <col min="15" max="15" width="12.140625" style="1" customWidth="1"/>
    <col min="16" max="16" width="14.7109375" style="1" customWidth="1"/>
    <col min="17" max="17" width="15.7109375" style="1" customWidth="1"/>
    <col min="18" max="18" width="11.140625" style="1" customWidth="1"/>
    <col min="19" max="16384" width="11.421875" style="1" customWidth="1"/>
  </cols>
  <sheetData>
    <row r="1" spans="1:18" s="4" customFormat="1" ht="12.75">
      <c r="A1" s="8" t="s">
        <v>0</v>
      </c>
      <c r="B1" s="8"/>
      <c r="C1" s="8"/>
      <c r="D1" s="8"/>
      <c r="E1" s="2"/>
      <c r="F1" s="2"/>
      <c r="G1" s="2"/>
      <c r="H1" s="2"/>
      <c r="I1" s="2"/>
      <c r="J1" s="2"/>
      <c r="K1" s="2"/>
      <c r="L1" s="2"/>
      <c r="M1" s="2"/>
      <c r="N1" s="2"/>
      <c r="O1" s="2"/>
      <c r="P1" s="3"/>
      <c r="Q1" s="3"/>
      <c r="R1" s="3"/>
    </row>
    <row r="2" spans="1:18" s="4" customFormat="1" ht="12.75">
      <c r="A2" s="8" t="s">
        <v>1</v>
      </c>
      <c r="B2" s="8"/>
      <c r="C2" s="8"/>
      <c r="D2" s="8"/>
      <c r="E2" s="2"/>
      <c r="F2" s="2"/>
      <c r="G2" s="2"/>
      <c r="H2" s="2"/>
      <c r="I2" s="2"/>
      <c r="J2" s="2"/>
      <c r="K2" s="2"/>
      <c r="L2" s="2"/>
      <c r="M2" s="2"/>
      <c r="N2" s="2"/>
      <c r="O2" s="2"/>
      <c r="P2" s="3"/>
      <c r="Q2" s="3"/>
      <c r="R2" s="3"/>
    </row>
    <row r="3" spans="1:18" s="4" customFormat="1" ht="12.75">
      <c r="A3" s="8" t="s">
        <v>2</v>
      </c>
      <c r="B3" s="8"/>
      <c r="C3" s="8"/>
      <c r="D3" s="8"/>
      <c r="E3" s="2"/>
      <c r="F3" s="2"/>
      <c r="G3" s="2"/>
      <c r="H3" s="2"/>
      <c r="I3" s="2"/>
      <c r="J3" s="2"/>
      <c r="K3" s="2"/>
      <c r="L3" s="2"/>
      <c r="M3" s="2"/>
      <c r="N3" s="2"/>
      <c r="O3" s="2"/>
      <c r="P3" s="3"/>
      <c r="Q3" s="3"/>
      <c r="R3" s="3"/>
    </row>
    <row r="4" spans="1:3" s="4" customFormat="1" ht="11.25" customHeight="1">
      <c r="A4" s="204" t="s">
        <v>194</v>
      </c>
      <c r="B4" s="204">
        <v>65</v>
      </c>
      <c r="C4" s="206" t="s">
        <v>196</v>
      </c>
    </row>
    <row r="5" spans="1:256" s="4" customFormat="1" ht="12" customHeight="1">
      <c r="A5" s="204" t="s">
        <v>195</v>
      </c>
      <c r="B5" s="205">
        <f>62/65</f>
        <v>0.9538461538461539</v>
      </c>
      <c r="C5" s="1"/>
      <c r="D5" s="1"/>
      <c r="E5" s="1"/>
      <c r="F5" s="1"/>
      <c r="H5" s="84" t="s">
        <v>3</v>
      </c>
      <c r="I5" s="394" t="s">
        <v>162</v>
      </c>
      <c r="J5" s="395"/>
      <c r="IV5" s="1"/>
    </row>
    <row r="6" spans="1:11" s="4" customFormat="1" ht="12" customHeight="1">
      <c r="A6" s="1"/>
      <c r="B6" s="1"/>
      <c r="C6" s="1"/>
      <c r="D6" s="1"/>
      <c r="E6" s="1"/>
      <c r="F6" s="1"/>
      <c r="G6" s="5"/>
      <c r="H6" s="7"/>
      <c r="I6" s="7"/>
      <c r="J6" s="8"/>
      <c r="K6" s="8"/>
    </row>
    <row r="7" ht="18" customHeight="1" thickBot="1">
      <c r="A7" s="9" t="s">
        <v>4</v>
      </c>
    </row>
    <row r="8" spans="1:13" ht="39" thickBot="1">
      <c r="A8" s="328" t="str">
        <f>$A$14</f>
        <v>Centro Beneficio</v>
      </c>
      <c r="B8" s="329"/>
      <c r="C8" s="330" t="s">
        <v>175</v>
      </c>
      <c r="D8" s="331" t="s">
        <v>174</v>
      </c>
      <c r="E8" s="332" t="s">
        <v>5</v>
      </c>
      <c r="F8" s="333" t="s">
        <v>6</v>
      </c>
      <c r="G8" s="333" t="s">
        <v>7</v>
      </c>
      <c r="H8" s="333" t="s">
        <v>8</v>
      </c>
      <c r="I8" s="333" t="s">
        <v>9</v>
      </c>
      <c r="J8" s="333" t="s">
        <v>10</v>
      </c>
      <c r="K8" s="334" t="s">
        <v>11</v>
      </c>
      <c r="L8" s="10"/>
      <c r="M8" s="382">
        <f>K9+7000000</f>
        <v>-20015970.549999997</v>
      </c>
    </row>
    <row r="9" spans="1:17" ht="26.25" thickBot="1">
      <c r="A9" s="335" t="s">
        <v>169</v>
      </c>
      <c r="B9" s="336"/>
      <c r="C9" s="337">
        <v>30100000</v>
      </c>
      <c r="D9" s="337">
        <v>23000000</v>
      </c>
      <c r="E9" s="338">
        <f>+O40</f>
        <v>3988144</v>
      </c>
      <c r="F9" s="339">
        <f>+P40</f>
        <v>43263280</v>
      </c>
      <c r="G9" s="339">
        <f>E9+F9+D9+C9+N40</f>
        <v>102562419.2</v>
      </c>
      <c r="H9" s="339">
        <f>'Ap. 3 Costos Directos'!$H$91</f>
        <v>129578389.75</v>
      </c>
      <c r="I9" s="340">
        <v>0</v>
      </c>
      <c r="J9" s="339">
        <f>SUM(H9:I9)</f>
        <v>129578389.75</v>
      </c>
      <c r="K9" s="341">
        <f>G9-J9</f>
        <v>-27015970.549999997</v>
      </c>
      <c r="L9" s="10"/>
      <c r="M9" s="207" t="s">
        <v>197</v>
      </c>
      <c r="N9" s="208">
        <f>J11</f>
        <v>-27015970.549999997</v>
      </c>
      <c r="P9" s="160" t="s">
        <v>201</v>
      </c>
      <c r="Q9" s="160" t="s">
        <v>200</v>
      </c>
    </row>
    <row r="10" spans="2:256" s="12" customFormat="1" ht="16.5" customHeight="1">
      <c r="B10" s="322" t="s">
        <v>224</v>
      </c>
      <c r="C10" s="322" t="s">
        <v>183</v>
      </c>
      <c r="D10" s="322" t="s">
        <v>192</v>
      </c>
      <c r="E10" s="323" t="s">
        <v>193</v>
      </c>
      <c r="F10" s="11"/>
      <c r="G10" s="11"/>
      <c r="H10" s="11"/>
      <c r="I10" s="342"/>
      <c r="J10" s="11"/>
      <c r="K10" s="11"/>
      <c r="L10" s="148"/>
      <c r="M10" s="209" t="s">
        <v>198</v>
      </c>
      <c r="N10" s="210">
        <f>'[1]Ap. 2 Ingresos C. Benef.'!$J$9</f>
        <v>-71024.06520000007</v>
      </c>
      <c r="P10" s="147">
        <v>29224000</v>
      </c>
      <c r="Q10" s="215">
        <f>N11</f>
        <v>-27086994.615199998</v>
      </c>
      <c r="IT10" s="13"/>
      <c r="IU10" s="13"/>
      <c r="IV10" s="13"/>
    </row>
    <row r="11" spans="1:17" s="16" customFormat="1" ht="16.5" customHeight="1" thickBot="1">
      <c r="A11" s="202" t="s">
        <v>170</v>
      </c>
      <c r="B11" s="201">
        <v>1.06</v>
      </c>
      <c r="C11" s="360"/>
      <c r="D11" s="360"/>
      <c r="E11" s="360"/>
      <c r="F11" s="15"/>
      <c r="H11" s="405" t="s">
        <v>166</v>
      </c>
      <c r="I11" s="405"/>
      <c r="J11" s="343">
        <f>K9+J10</f>
        <v>-27015970.549999997</v>
      </c>
      <c r="K11" s="15"/>
      <c r="L11" s="146"/>
      <c r="M11" s="211" t="s">
        <v>199</v>
      </c>
      <c r="N11" s="212">
        <f>SUM(N9:N10)</f>
        <v>-27086994.615199998</v>
      </c>
      <c r="Q11" s="214">
        <f>Q10-P10</f>
        <v>-56310994.6152</v>
      </c>
    </row>
    <row r="12" spans="1:12" s="16" customFormat="1" ht="16.5" customHeight="1">
      <c r="A12" s="203" t="s">
        <v>171</v>
      </c>
      <c r="B12" s="360"/>
      <c r="C12" s="360"/>
      <c r="D12" s="360"/>
      <c r="E12" s="360"/>
      <c r="F12" s="15"/>
      <c r="H12" s="15"/>
      <c r="I12" s="15"/>
      <c r="J12" s="193"/>
      <c r="K12" s="15"/>
      <c r="L12" s="146"/>
    </row>
    <row r="13" spans="1:12" s="16" customFormat="1" ht="3" customHeight="1" thickBot="1">
      <c r="A13" s="17"/>
      <c r="B13" s="17"/>
      <c r="C13" s="17"/>
      <c r="D13" s="153"/>
      <c r="E13" s="153"/>
      <c r="F13" s="153"/>
      <c r="G13" s="153"/>
      <c r="H13" s="153"/>
      <c r="I13" s="153"/>
      <c r="J13" s="15"/>
      <c r="K13" s="15"/>
      <c r="L13" s="146"/>
    </row>
    <row r="14" spans="1:17" ht="30" customHeight="1">
      <c r="A14" s="406" t="s">
        <v>12</v>
      </c>
      <c r="B14" s="406" t="s">
        <v>13</v>
      </c>
      <c r="C14" s="408" t="s">
        <v>14</v>
      </c>
      <c r="D14" s="399" t="s">
        <v>15</v>
      </c>
      <c r="E14" s="400"/>
      <c r="F14" s="400"/>
      <c r="G14" s="400"/>
      <c r="H14" s="401"/>
      <c r="I14" s="402" t="s">
        <v>266</v>
      </c>
      <c r="J14" s="403"/>
      <c r="K14" s="403"/>
      <c r="L14" s="403"/>
      <c r="M14" s="404"/>
      <c r="N14" s="200" t="s">
        <v>189</v>
      </c>
      <c r="O14" s="18"/>
      <c r="P14" s="18"/>
      <c r="Q14" s="18"/>
    </row>
    <row r="15" spans="1:17" ht="63" customHeight="1" thickBot="1">
      <c r="A15" s="407"/>
      <c r="B15" s="407"/>
      <c r="C15" s="409"/>
      <c r="D15" s="325" t="s">
        <v>190</v>
      </c>
      <c r="E15" s="326" t="s">
        <v>191</v>
      </c>
      <c r="F15" s="344" t="s">
        <v>222</v>
      </c>
      <c r="G15" s="344" t="s">
        <v>223</v>
      </c>
      <c r="H15" s="327" t="s">
        <v>182</v>
      </c>
      <c r="I15" s="325" t="s">
        <v>190</v>
      </c>
      <c r="J15" s="326" t="s">
        <v>191</v>
      </c>
      <c r="K15" s="344" t="s">
        <v>222</v>
      </c>
      <c r="L15" s="344" t="s">
        <v>223</v>
      </c>
      <c r="M15" s="327" t="s">
        <v>182</v>
      </c>
      <c r="N15" s="199" t="s">
        <v>188</v>
      </c>
      <c r="O15" s="52" t="s">
        <v>16</v>
      </c>
      <c r="P15" s="51" t="s">
        <v>17</v>
      </c>
      <c r="Q15" s="53" t="s">
        <v>18</v>
      </c>
    </row>
    <row r="16" spans="1:17" ht="24" customHeight="1">
      <c r="A16" s="388" t="s">
        <v>184</v>
      </c>
      <c r="B16" s="383">
        <f>+D17+E17+F17+G17+H17</f>
        <v>4</v>
      </c>
      <c r="C16" s="149" t="s">
        <v>19</v>
      </c>
      <c r="D16" s="169">
        <f>74200*B11</f>
        <v>78652</v>
      </c>
      <c r="E16" s="324">
        <f>62500*B11</f>
        <v>66250</v>
      </c>
      <c r="F16" s="170">
        <f>102100*B11</f>
        <v>108226</v>
      </c>
      <c r="G16" s="170">
        <f>88800*B11</f>
        <v>94128</v>
      </c>
      <c r="H16" s="171">
        <f>110700*B11</f>
        <v>117342</v>
      </c>
      <c r="I16" s="170">
        <f aca="true" t="shared" si="0" ref="I16:L17">D16</f>
        <v>78652</v>
      </c>
      <c r="J16" s="172">
        <f t="shared" si="0"/>
        <v>66250</v>
      </c>
      <c r="K16" s="172">
        <f t="shared" si="0"/>
        <v>108226</v>
      </c>
      <c r="L16" s="172">
        <f t="shared" si="0"/>
        <v>94128</v>
      </c>
      <c r="M16" s="182">
        <f>H16</f>
        <v>117342</v>
      </c>
      <c r="N16" s="195"/>
      <c r="O16" s="106"/>
      <c r="P16" s="106"/>
      <c r="Q16" s="107"/>
    </row>
    <row r="17" spans="1:17" ht="25.5" customHeight="1">
      <c r="A17" s="389"/>
      <c r="B17" s="384"/>
      <c r="C17" s="99" t="s">
        <v>20</v>
      </c>
      <c r="D17" s="155">
        <v>1</v>
      </c>
      <c r="E17" s="101">
        <v>1</v>
      </c>
      <c r="F17" s="101">
        <v>2</v>
      </c>
      <c r="G17" s="101">
        <v>0</v>
      </c>
      <c r="H17" s="156">
        <v>0</v>
      </c>
      <c r="I17" s="101">
        <f t="shared" si="0"/>
        <v>1</v>
      </c>
      <c r="J17" s="101">
        <f t="shared" si="0"/>
        <v>1</v>
      </c>
      <c r="K17" s="101">
        <f t="shared" si="0"/>
        <v>2</v>
      </c>
      <c r="L17" s="101">
        <f t="shared" si="0"/>
        <v>0</v>
      </c>
      <c r="M17" s="156">
        <f>H17</f>
        <v>0</v>
      </c>
      <c r="N17" s="196"/>
      <c r="O17" s="104"/>
      <c r="P17" s="104"/>
      <c r="Q17" s="108"/>
    </row>
    <row r="18" spans="1:17" ht="26.25" customHeight="1" thickBot="1">
      <c r="A18" s="390"/>
      <c r="B18" s="392"/>
      <c r="C18" s="176" t="s">
        <v>21</v>
      </c>
      <c r="D18" s="177">
        <f>D16*D17</f>
        <v>78652</v>
      </c>
      <c r="E18" s="178">
        <f>E17*E16</f>
        <v>66250</v>
      </c>
      <c r="F18" s="361">
        <f>F17*F16</f>
        <v>216452</v>
      </c>
      <c r="G18" s="361">
        <f>G17*G16</f>
        <v>0</v>
      </c>
      <c r="H18" s="179">
        <f>H17*H16</f>
        <v>0</v>
      </c>
      <c r="I18" s="178">
        <f>I16*I17*10</f>
        <v>786520</v>
      </c>
      <c r="J18" s="180">
        <f>J17*J16*10</f>
        <v>662500</v>
      </c>
      <c r="K18" s="180">
        <f>K17*K16*10</f>
        <v>2164520</v>
      </c>
      <c r="L18" s="180">
        <f>L17*L16*10</f>
        <v>0</v>
      </c>
      <c r="M18" s="181">
        <f>M17*M16*10</f>
        <v>0</v>
      </c>
      <c r="N18" s="197">
        <f>O18*0.3</f>
        <v>108406.2</v>
      </c>
      <c r="O18" s="100">
        <f>SUM(D18:H18)</f>
        <v>361354</v>
      </c>
      <c r="P18" s="100">
        <f>SUM(I18:M18)</f>
        <v>3613540</v>
      </c>
      <c r="Q18" s="109">
        <f>N18+O18+P18</f>
        <v>4083300.2</v>
      </c>
    </row>
    <row r="19" spans="1:17" ht="23.25" customHeight="1">
      <c r="A19" s="391" t="s">
        <v>185</v>
      </c>
      <c r="B19" s="383">
        <f>+D20+E20+F20+G20+H20</f>
        <v>1</v>
      </c>
      <c r="C19" s="149" t="s">
        <v>19</v>
      </c>
      <c r="D19" s="173">
        <f>38900*B11</f>
        <v>41234</v>
      </c>
      <c r="E19" s="174">
        <f>31900*B11</f>
        <v>33814</v>
      </c>
      <c r="F19" s="174">
        <f>51800*B11</f>
        <v>54908</v>
      </c>
      <c r="G19" s="174">
        <f>46200*B11</f>
        <v>48972</v>
      </c>
      <c r="H19" s="175">
        <f>57300*B11</f>
        <v>60738</v>
      </c>
      <c r="I19" s="174">
        <f aca="true" t="shared" si="1" ref="I19:L20">D19</f>
        <v>41234</v>
      </c>
      <c r="J19" s="105">
        <f t="shared" si="1"/>
        <v>33814</v>
      </c>
      <c r="K19" s="105">
        <f t="shared" si="1"/>
        <v>54908</v>
      </c>
      <c r="L19" s="105">
        <f t="shared" si="1"/>
        <v>48972</v>
      </c>
      <c r="M19" s="167">
        <f>H19</f>
        <v>60738</v>
      </c>
      <c r="N19" s="198"/>
      <c r="O19" s="102"/>
      <c r="P19" s="102"/>
      <c r="Q19" s="111"/>
    </row>
    <row r="20" spans="1:17" ht="26.25" customHeight="1">
      <c r="A20" s="386"/>
      <c r="B20" s="384"/>
      <c r="C20" s="99" t="s">
        <v>20</v>
      </c>
      <c r="D20" s="155">
        <v>0</v>
      </c>
      <c r="E20" s="101">
        <v>1</v>
      </c>
      <c r="F20" s="101">
        <v>0</v>
      </c>
      <c r="G20" s="101">
        <v>0</v>
      </c>
      <c r="H20" s="156">
        <v>0</v>
      </c>
      <c r="I20" s="101">
        <f t="shared" si="1"/>
        <v>0</v>
      </c>
      <c r="J20" s="101">
        <f t="shared" si="1"/>
        <v>1</v>
      </c>
      <c r="K20" s="101">
        <f t="shared" si="1"/>
        <v>0</v>
      </c>
      <c r="L20" s="101">
        <f t="shared" si="1"/>
        <v>0</v>
      </c>
      <c r="M20" s="101">
        <f>H20</f>
        <v>0</v>
      </c>
      <c r="N20" s="196"/>
      <c r="O20" s="103"/>
      <c r="P20" s="103"/>
      <c r="Q20" s="112"/>
    </row>
    <row r="21" spans="1:17" ht="26.25" customHeight="1" thickBot="1">
      <c r="A21" s="387"/>
      <c r="B21" s="392"/>
      <c r="C21" s="176" t="s">
        <v>21</v>
      </c>
      <c r="D21" s="177">
        <f>D19*D20</f>
        <v>0</v>
      </c>
      <c r="E21" s="178">
        <f>E19*E20</f>
        <v>33814</v>
      </c>
      <c r="F21" s="361">
        <f>F19*F20</f>
        <v>0</v>
      </c>
      <c r="G21" s="361">
        <f>G19*G20</f>
        <v>0</v>
      </c>
      <c r="H21" s="179">
        <f>H19*H20</f>
        <v>0</v>
      </c>
      <c r="I21" s="178">
        <f>I19*I20*10</f>
        <v>0</v>
      </c>
      <c r="J21" s="180">
        <f>J20*J19*10</f>
        <v>338140</v>
      </c>
      <c r="K21" s="364">
        <f>K20*K19*10</f>
        <v>0</v>
      </c>
      <c r="L21" s="364">
        <f>L20*L19*10</f>
        <v>0</v>
      </c>
      <c r="M21" s="183">
        <f>M20*M19*10</f>
        <v>0</v>
      </c>
      <c r="N21" s="197">
        <f>O21*0.3</f>
        <v>10144.199999999999</v>
      </c>
      <c r="O21" s="100">
        <f>SUM(D21:H21)</f>
        <v>33814</v>
      </c>
      <c r="P21" s="100">
        <f>SUM(I21:M21)</f>
        <v>338140</v>
      </c>
      <c r="Q21" s="109">
        <f>N21+O21+P21</f>
        <v>382098.2</v>
      </c>
    </row>
    <row r="22" spans="1:17" ht="26.25" customHeight="1">
      <c r="A22" s="386" t="s">
        <v>264</v>
      </c>
      <c r="B22" s="383">
        <f>+I23+J23+K23+L23</f>
        <v>4</v>
      </c>
      <c r="C22" s="149" t="s">
        <v>19</v>
      </c>
      <c r="D22" s="169">
        <v>0</v>
      </c>
      <c r="E22" s="324">
        <v>0</v>
      </c>
      <c r="F22" s="170">
        <v>0</v>
      </c>
      <c r="G22" s="170">
        <v>0</v>
      </c>
      <c r="H22" s="171">
        <v>0</v>
      </c>
      <c r="I22" s="170">
        <f>7500</f>
        <v>7500</v>
      </c>
      <c r="J22" s="172">
        <f>I22</f>
        <v>7500</v>
      </c>
      <c r="K22" s="172">
        <f>I22</f>
        <v>7500</v>
      </c>
      <c r="L22" s="172">
        <f>J22</f>
        <v>7500</v>
      </c>
      <c r="M22" s="182">
        <f>I22</f>
        <v>7500</v>
      </c>
      <c r="N22" s="198"/>
      <c r="O22" s="102"/>
      <c r="P22" s="102"/>
      <c r="Q22" s="358"/>
    </row>
    <row r="23" spans="1:17" ht="26.25" customHeight="1">
      <c r="A23" s="386"/>
      <c r="B23" s="384"/>
      <c r="C23" s="99" t="s">
        <v>20</v>
      </c>
      <c r="D23" s="155">
        <v>0</v>
      </c>
      <c r="E23" s="101">
        <v>0</v>
      </c>
      <c r="F23" s="101">
        <v>0</v>
      </c>
      <c r="G23" s="101">
        <v>0</v>
      </c>
      <c r="H23" s="156">
        <v>0</v>
      </c>
      <c r="I23" s="101">
        <v>1</v>
      </c>
      <c r="J23" s="101">
        <v>2</v>
      </c>
      <c r="K23" s="101">
        <v>0</v>
      </c>
      <c r="L23" s="101">
        <v>1</v>
      </c>
      <c r="M23" s="156">
        <v>0</v>
      </c>
      <c r="N23" s="196"/>
      <c r="O23" s="103"/>
      <c r="P23" s="103"/>
      <c r="Q23" s="358"/>
    </row>
    <row r="24" spans="1:17" ht="26.25" customHeight="1" thickBot="1">
      <c r="A24" s="387"/>
      <c r="B24" s="392"/>
      <c r="C24" s="176" t="s">
        <v>21</v>
      </c>
      <c r="D24" s="177">
        <f>D22*D23</f>
        <v>0</v>
      </c>
      <c r="E24" s="178">
        <f>E23*E22</f>
        <v>0</v>
      </c>
      <c r="F24" s="361">
        <f>F23*F22</f>
        <v>0</v>
      </c>
      <c r="G24" s="361">
        <f>G23*G22</f>
        <v>0</v>
      </c>
      <c r="H24" s="179">
        <f>H23*H22</f>
        <v>0</v>
      </c>
      <c r="I24" s="178">
        <f>I22*I23*10</f>
        <v>75000</v>
      </c>
      <c r="J24" s="180">
        <f>J23*J22*10</f>
        <v>150000</v>
      </c>
      <c r="K24" s="364">
        <f>K23*K22*10</f>
        <v>0</v>
      </c>
      <c r="L24" s="364">
        <f>L23*L22*10</f>
        <v>75000</v>
      </c>
      <c r="M24" s="183">
        <f>M23*M22*10</f>
        <v>0</v>
      </c>
      <c r="N24" s="357">
        <f>P24*0.3</f>
        <v>90000</v>
      </c>
      <c r="O24" s="100">
        <f>SUM(D24:H24)</f>
        <v>0</v>
      </c>
      <c r="P24" s="100">
        <f>SUM(I24:M24)</f>
        <v>300000</v>
      </c>
      <c r="Q24" s="109">
        <f>N24+O24+P24</f>
        <v>390000</v>
      </c>
    </row>
    <row r="25" spans="1:17" ht="26.25" customHeight="1">
      <c r="A25" s="386" t="s">
        <v>265</v>
      </c>
      <c r="B25" s="383">
        <f>+I26+J26+K26+L26</f>
        <v>12</v>
      </c>
      <c r="C25" s="149" t="s">
        <v>19</v>
      </c>
      <c r="D25" s="169">
        <v>0</v>
      </c>
      <c r="E25" s="324">
        <v>0</v>
      </c>
      <c r="F25" s="170">
        <v>0</v>
      </c>
      <c r="G25" s="170">
        <v>0</v>
      </c>
      <c r="H25" s="171">
        <v>0</v>
      </c>
      <c r="I25" s="170">
        <f>21501</f>
        <v>21501</v>
      </c>
      <c r="J25" s="172">
        <f>I25</f>
        <v>21501</v>
      </c>
      <c r="K25" s="172">
        <f>I25</f>
        <v>21501</v>
      </c>
      <c r="L25" s="172">
        <f>I25</f>
        <v>21501</v>
      </c>
      <c r="M25" s="182">
        <f>I25</f>
        <v>21501</v>
      </c>
      <c r="N25" s="198">
        <v>0</v>
      </c>
      <c r="O25" s="102"/>
      <c r="P25" s="102"/>
      <c r="Q25" s="358"/>
    </row>
    <row r="26" spans="1:17" ht="26.25" customHeight="1">
      <c r="A26" s="386"/>
      <c r="B26" s="384"/>
      <c r="C26" s="99" t="s">
        <v>20</v>
      </c>
      <c r="D26" s="155">
        <v>0</v>
      </c>
      <c r="E26" s="101">
        <v>0</v>
      </c>
      <c r="F26" s="101">
        <v>0</v>
      </c>
      <c r="G26" s="101">
        <v>0</v>
      </c>
      <c r="H26" s="156">
        <v>0</v>
      </c>
      <c r="I26" s="101">
        <v>4</v>
      </c>
      <c r="J26" s="101">
        <v>6</v>
      </c>
      <c r="K26" s="101">
        <v>0</v>
      </c>
      <c r="L26" s="101">
        <v>2</v>
      </c>
      <c r="M26" s="156">
        <v>0</v>
      </c>
      <c r="N26" s="196"/>
      <c r="O26" s="103"/>
      <c r="P26" s="103"/>
      <c r="Q26" s="358"/>
    </row>
    <row r="27" spans="1:17" ht="26.25" customHeight="1" thickBot="1">
      <c r="A27" s="387"/>
      <c r="B27" s="392"/>
      <c r="C27" s="176" t="s">
        <v>21</v>
      </c>
      <c r="D27" s="177">
        <f>D25*D26</f>
        <v>0</v>
      </c>
      <c r="E27" s="178">
        <f>E26*E25</f>
        <v>0</v>
      </c>
      <c r="F27" s="361">
        <f>F26*F25</f>
        <v>0</v>
      </c>
      <c r="G27" s="361">
        <f>G26*G25</f>
        <v>0</v>
      </c>
      <c r="H27" s="179">
        <f>H26*H25</f>
        <v>0</v>
      </c>
      <c r="I27" s="178">
        <f>I26*I25*10</f>
        <v>860040</v>
      </c>
      <c r="J27" s="178">
        <f>J26*J25*10</f>
        <v>1290060</v>
      </c>
      <c r="K27" s="178">
        <f>K26*K25*10</f>
        <v>0</v>
      </c>
      <c r="L27" s="178">
        <f>L26*L25*10</f>
        <v>430020</v>
      </c>
      <c r="M27" s="178">
        <f>M26*M25*10</f>
        <v>0</v>
      </c>
      <c r="N27" s="357">
        <f>P27*0.3</f>
        <v>774036</v>
      </c>
      <c r="O27" s="100">
        <f>SUM(D27:H27)</f>
        <v>0</v>
      </c>
      <c r="P27" s="100">
        <f>SUM(I27:M27)</f>
        <v>2580120</v>
      </c>
      <c r="Q27" s="109">
        <f>N27+O27+P27</f>
        <v>3354156</v>
      </c>
    </row>
    <row r="28" spans="1:17" ht="26.25" customHeight="1">
      <c r="A28" s="386" t="s">
        <v>269</v>
      </c>
      <c r="B28" s="383">
        <f>+I29+J29+K29+L29</f>
        <v>4</v>
      </c>
      <c r="C28" s="168" t="s">
        <v>19</v>
      </c>
      <c r="D28" s="169">
        <v>0</v>
      </c>
      <c r="E28" s="170">
        <v>0</v>
      </c>
      <c r="F28" s="170">
        <f>0</f>
        <v>0</v>
      </c>
      <c r="G28" s="170">
        <f>0</f>
        <v>0</v>
      </c>
      <c r="H28" s="171">
        <f>0</f>
        <v>0</v>
      </c>
      <c r="I28" s="170">
        <v>12543</v>
      </c>
      <c r="J28" s="170">
        <f>I28</f>
        <v>12543</v>
      </c>
      <c r="K28" s="170">
        <f>I28</f>
        <v>12543</v>
      </c>
      <c r="L28" s="170">
        <f>I28</f>
        <v>12543</v>
      </c>
      <c r="M28" s="170">
        <f>12543</f>
        <v>12543</v>
      </c>
      <c r="N28" s="198"/>
      <c r="O28" s="102"/>
      <c r="P28" s="102"/>
      <c r="Q28" s="111"/>
    </row>
    <row r="29" spans="1:17" ht="26.25" customHeight="1">
      <c r="A29" s="386"/>
      <c r="B29" s="384"/>
      <c r="C29" s="99" t="s">
        <v>20</v>
      </c>
      <c r="D29" s="155">
        <v>0</v>
      </c>
      <c r="E29" s="101">
        <v>0</v>
      </c>
      <c r="F29" s="101">
        <v>0</v>
      </c>
      <c r="G29" s="101">
        <v>0</v>
      </c>
      <c r="H29" s="156">
        <v>0</v>
      </c>
      <c r="I29" s="101">
        <v>1</v>
      </c>
      <c r="J29" s="101">
        <v>2</v>
      </c>
      <c r="K29" s="101">
        <v>0</v>
      </c>
      <c r="L29" s="101">
        <v>1</v>
      </c>
      <c r="M29" s="156">
        <v>0</v>
      </c>
      <c r="N29" s="196"/>
      <c r="O29" s="103"/>
      <c r="P29" s="103"/>
      <c r="Q29" s="112"/>
    </row>
    <row r="30" spans="1:17" ht="26.25" customHeight="1" thickBot="1">
      <c r="A30" s="387"/>
      <c r="B30" s="392"/>
      <c r="C30" s="176" t="s">
        <v>21</v>
      </c>
      <c r="D30" s="177">
        <f>D28*D29</f>
        <v>0</v>
      </c>
      <c r="E30" s="178">
        <f>E28*E29</f>
        <v>0</v>
      </c>
      <c r="F30" s="361">
        <f>F28*F29</f>
        <v>0</v>
      </c>
      <c r="G30" s="361">
        <f>G28*G29</f>
        <v>0</v>
      </c>
      <c r="H30" s="179">
        <f>H28*H29</f>
        <v>0</v>
      </c>
      <c r="I30" s="178">
        <f>I28*I29*10</f>
        <v>125430</v>
      </c>
      <c r="J30" s="180">
        <f>J29*J28*10</f>
        <v>250860</v>
      </c>
      <c r="K30" s="364">
        <f>K29*K28*10</f>
        <v>0</v>
      </c>
      <c r="L30" s="364">
        <f>L29*L28*10</f>
        <v>125430</v>
      </c>
      <c r="M30" s="183">
        <f>M29*M28*10</f>
        <v>0</v>
      </c>
      <c r="N30" s="357">
        <f>P30*0.3</f>
        <v>150516</v>
      </c>
      <c r="O30" s="100">
        <f>SUM(D30:H30)</f>
        <v>0</v>
      </c>
      <c r="P30" s="100">
        <f>SUM(I30:M30)</f>
        <v>501720</v>
      </c>
      <c r="Q30" s="109">
        <f>N30+O30+P30</f>
        <v>652236</v>
      </c>
    </row>
    <row r="31" spans="1:17" ht="27" customHeight="1">
      <c r="A31" s="386" t="s">
        <v>239</v>
      </c>
      <c r="B31" s="393">
        <f>+D32+E32+F32+G32+H32</f>
        <v>34</v>
      </c>
      <c r="C31" s="168" t="s">
        <v>19</v>
      </c>
      <c r="D31" s="169">
        <f>55400*B11</f>
        <v>58724</v>
      </c>
      <c r="E31" s="170">
        <f>43600*B11</f>
        <v>46216</v>
      </c>
      <c r="F31" s="170">
        <f>74100*B11</f>
        <v>78546</v>
      </c>
      <c r="G31" s="170">
        <f>65700*B11</f>
        <v>69642</v>
      </c>
      <c r="H31" s="171">
        <f>80200*B11</f>
        <v>85012</v>
      </c>
      <c r="I31" s="170">
        <f aca="true" t="shared" si="2" ref="I31:L32">D31</f>
        <v>58724</v>
      </c>
      <c r="J31" s="172">
        <f t="shared" si="2"/>
        <v>46216</v>
      </c>
      <c r="K31" s="172">
        <f t="shared" si="2"/>
        <v>78546</v>
      </c>
      <c r="L31" s="172">
        <f t="shared" si="2"/>
        <v>69642</v>
      </c>
      <c r="M31" s="182">
        <f>H31</f>
        <v>85012</v>
      </c>
      <c r="N31" s="354"/>
      <c r="O31" s="355"/>
      <c r="P31" s="355"/>
      <c r="Q31" s="356"/>
    </row>
    <row r="32" spans="1:17" ht="24" customHeight="1">
      <c r="A32" s="386"/>
      <c r="B32" s="384"/>
      <c r="C32" s="99" t="s">
        <v>20</v>
      </c>
      <c r="D32" s="155">
        <v>5</v>
      </c>
      <c r="E32" s="101">
        <v>25</v>
      </c>
      <c r="F32" s="101">
        <v>1</v>
      </c>
      <c r="G32" s="101">
        <v>3</v>
      </c>
      <c r="H32" s="156">
        <v>0</v>
      </c>
      <c r="I32" s="101">
        <f t="shared" si="2"/>
        <v>5</v>
      </c>
      <c r="J32" s="101">
        <f t="shared" si="2"/>
        <v>25</v>
      </c>
      <c r="K32" s="101">
        <f t="shared" si="2"/>
        <v>1</v>
      </c>
      <c r="L32" s="101">
        <f t="shared" si="2"/>
        <v>3</v>
      </c>
      <c r="M32" s="156">
        <f>H32</f>
        <v>0</v>
      </c>
      <c r="N32" s="196"/>
      <c r="O32" s="103"/>
      <c r="P32" s="103"/>
      <c r="Q32" s="112"/>
    </row>
    <row r="33" spans="1:18" ht="25.5" customHeight="1" thickBot="1">
      <c r="A33" s="386"/>
      <c r="B33" s="384"/>
      <c r="C33" s="184" t="s">
        <v>21</v>
      </c>
      <c r="D33" s="185">
        <f>D31*D32</f>
        <v>293620</v>
      </c>
      <c r="E33" s="186">
        <f>E31*E32</f>
        <v>1155400</v>
      </c>
      <c r="F33" s="362">
        <f>F31*F32</f>
        <v>78546</v>
      </c>
      <c r="G33" s="362">
        <f>G31*G32</f>
        <v>208926</v>
      </c>
      <c r="H33" s="187">
        <f>H31*H32</f>
        <v>0</v>
      </c>
      <c r="I33" s="186">
        <f>I32*I31*10</f>
        <v>2936200</v>
      </c>
      <c r="J33" s="188">
        <f>J32*J31*10</f>
        <v>11554000</v>
      </c>
      <c r="K33" s="365">
        <f>K32*K31*10</f>
        <v>785460</v>
      </c>
      <c r="L33" s="365">
        <f>L32*L31*10</f>
        <v>2089260</v>
      </c>
      <c r="M33" s="189">
        <f>M32*M31*10</f>
        <v>0</v>
      </c>
      <c r="N33" s="197">
        <f>O33*0.3</f>
        <v>520947.6</v>
      </c>
      <c r="O33" s="100">
        <f>SUM(D33:H33)</f>
        <v>1736492</v>
      </c>
      <c r="P33" s="100">
        <f>SUM(I33:M33)</f>
        <v>17364920</v>
      </c>
      <c r="Q33" s="109">
        <f>N33+O33+P33</f>
        <v>19622359.6</v>
      </c>
      <c r="R33" s="359"/>
    </row>
    <row r="34" spans="1:17" ht="24" customHeight="1">
      <c r="A34" s="396" t="s">
        <v>238</v>
      </c>
      <c r="B34" s="383">
        <f>D35+E35+F35+G35+H35</f>
        <v>14</v>
      </c>
      <c r="C34" s="149" t="s">
        <v>19</v>
      </c>
      <c r="D34" s="173">
        <f>81300*B11</f>
        <v>86178</v>
      </c>
      <c r="E34" s="174">
        <f>69500*B11</f>
        <v>73670</v>
      </c>
      <c r="F34" s="174">
        <f>110500*B11</f>
        <v>117130</v>
      </c>
      <c r="G34" s="174">
        <f>96500*B11</f>
        <v>102290</v>
      </c>
      <c r="H34" s="175">
        <f>112600*B11</f>
        <v>119356</v>
      </c>
      <c r="I34" s="174">
        <f aca="true" t="shared" si="3" ref="I34:L35">D34</f>
        <v>86178</v>
      </c>
      <c r="J34" s="105">
        <f t="shared" si="3"/>
        <v>73670</v>
      </c>
      <c r="K34" s="105">
        <f t="shared" si="3"/>
        <v>117130</v>
      </c>
      <c r="L34" s="105">
        <f t="shared" si="3"/>
        <v>102290</v>
      </c>
      <c r="M34" s="154">
        <f>H34</f>
        <v>119356</v>
      </c>
      <c r="N34" s="198"/>
      <c r="O34" s="102"/>
      <c r="P34" s="102"/>
      <c r="Q34" s="111"/>
    </row>
    <row r="35" spans="1:17" ht="22.5" customHeight="1">
      <c r="A35" s="397"/>
      <c r="B35" s="384"/>
      <c r="C35" s="99" t="s">
        <v>20</v>
      </c>
      <c r="D35" s="155">
        <v>0</v>
      </c>
      <c r="E35" s="101">
        <v>6</v>
      </c>
      <c r="F35" s="101">
        <v>2</v>
      </c>
      <c r="G35" s="101">
        <v>3</v>
      </c>
      <c r="H35" s="156">
        <v>3</v>
      </c>
      <c r="I35" s="101">
        <f t="shared" si="3"/>
        <v>0</v>
      </c>
      <c r="J35" s="101">
        <f t="shared" si="3"/>
        <v>6</v>
      </c>
      <c r="K35" s="101">
        <f t="shared" si="3"/>
        <v>2</v>
      </c>
      <c r="L35" s="101">
        <f t="shared" si="3"/>
        <v>3</v>
      </c>
      <c r="M35" s="156">
        <f>H35</f>
        <v>3</v>
      </c>
      <c r="N35" s="196"/>
      <c r="O35" s="103"/>
      <c r="P35" s="103"/>
      <c r="Q35" s="112"/>
    </row>
    <row r="36" spans="1:17" ht="27" customHeight="1" thickBot="1">
      <c r="A36" s="398"/>
      <c r="B36" s="392"/>
      <c r="C36" s="176" t="s">
        <v>21</v>
      </c>
      <c r="D36" s="177">
        <f>D34*D35</f>
        <v>0</v>
      </c>
      <c r="E36" s="178">
        <f>E34*E35</f>
        <v>442020</v>
      </c>
      <c r="F36" s="361">
        <f>F34*F35</f>
        <v>234260</v>
      </c>
      <c r="G36" s="361">
        <f>G34*G35</f>
        <v>306870</v>
      </c>
      <c r="H36" s="179">
        <f>H34*H35</f>
        <v>358068</v>
      </c>
      <c r="I36" s="178">
        <f>I35*I34*10</f>
        <v>0</v>
      </c>
      <c r="J36" s="180">
        <f>J35*J34*10</f>
        <v>4420200</v>
      </c>
      <c r="K36" s="364">
        <f>K35*K34*10</f>
        <v>2342600</v>
      </c>
      <c r="L36" s="364">
        <f>L35*L34*10</f>
        <v>3068700</v>
      </c>
      <c r="M36" s="183">
        <f>M35*M34*10</f>
        <v>3580680</v>
      </c>
      <c r="N36" s="197">
        <f>O36*0.3</f>
        <v>402365.39999999997</v>
      </c>
      <c r="O36" s="100">
        <f>SUM(D36:H36)</f>
        <v>1341218</v>
      </c>
      <c r="P36" s="100">
        <f>SUM(I36:M36)</f>
        <v>13412180</v>
      </c>
      <c r="Q36" s="109">
        <f>N36+O36+P36</f>
        <v>15155763.4</v>
      </c>
    </row>
    <row r="37" spans="1:17" ht="27.75" customHeight="1">
      <c r="A37" s="386" t="s">
        <v>237</v>
      </c>
      <c r="B37" s="383">
        <f>D38+E38+F38+G38+H38</f>
        <v>7</v>
      </c>
      <c r="C37" s="168" t="s">
        <v>19</v>
      </c>
      <c r="D37" s="169">
        <f>55400*B11</f>
        <v>58724</v>
      </c>
      <c r="E37" s="170">
        <f>49500*B11</f>
        <v>52470</v>
      </c>
      <c r="F37" s="170">
        <f>74100*B11</f>
        <v>78546</v>
      </c>
      <c r="G37" s="170">
        <f>65700*B11</f>
        <v>69642</v>
      </c>
      <c r="H37" s="171">
        <f>84900*B11</f>
        <v>89994</v>
      </c>
      <c r="I37" s="170">
        <f aca="true" t="shared" si="4" ref="I37:L38">D37</f>
        <v>58724</v>
      </c>
      <c r="J37" s="172">
        <f t="shared" si="4"/>
        <v>52470</v>
      </c>
      <c r="K37" s="172">
        <f t="shared" si="4"/>
        <v>78546</v>
      </c>
      <c r="L37" s="172">
        <f t="shared" si="4"/>
        <v>69642</v>
      </c>
      <c r="M37" s="182">
        <f>H37</f>
        <v>89994</v>
      </c>
      <c r="N37" s="198"/>
      <c r="O37" s="102"/>
      <c r="P37" s="102"/>
      <c r="Q37" s="111"/>
    </row>
    <row r="38" spans="1:17" ht="26.25" customHeight="1">
      <c r="A38" s="386"/>
      <c r="B38" s="384"/>
      <c r="C38" s="99" t="s">
        <v>20</v>
      </c>
      <c r="D38" s="155">
        <v>2</v>
      </c>
      <c r="E38" s="101">
        <v>0</v>
      </c>
      <c r="F38" s="101">
        <v>1</v>
      </c>
      <c r="G38" s="101">
        <v>2</v>
      </c>
      <c r="H38" s="156">
        <v>2</v>
      </c>
      <c r="I38" s="101">
        <f t="shared" si="4"/>
        <v>2</v>
      </c>
      <c r="J38" s="101">
        <f t="shared" si="4"/>
        <v>0</v>
      </c>
      <c r="K38" s="101">
        <f t="shared" si="4"/>
        <v>1</v>
      </c>
      <c r="L38" s="101">
        <f t="shared" si="4"/>
        <v>2</v>
      </c>
      <c r="M38" s="156">
        <f>H38</f>
        <v>2</v>
      </c>
      <c r="N38" s="196"/>
      <c r="O38" s="103"/>
      <c r="P38" s="103"/>
      <c r="Q38" s="112"/>
    </row>
    <row r="39" spans="1:17" ht="27" customHeight="1" thickBot="1">
      <c r="A39" s="387"/>
      <c r="B39" s="385"/>
      <c r="C39" s="150" t="s">
        <v>21</v>
      </c>
      <c r="D39" s="162">
        <f>D37*D38</f>
        <v>117448</v>
      </c>
      <c r="E39" s="161">
        <f>E37*E38</f>
        <v>0</v>
      </c>
      <c r="F39" s="363">
        <f>F37*F38</f>
        <v>78546</v>
      </c>
      <c r="G39" s="363">
        <f>G37*G38</f>
        <v>139284</v>
      </c>
      <c r="H39" s="163">
        <f>H37*H38</f>
        <v>179988</v>
      </c>
      <c r="I39" s="161">
        <f>I38*I37*10</f>
        <v>1174480</v>
      </c>
      <c r="J39" s="100">
        <f>J38*J37*10</f>
        <v>0</v>
      </c>
      <c r="K39" s="366">
        <f>K38*K37*10</f>
        <v>785460</v>
      </c>
      <c r="L39" s="366">
        <f>L38*L37*10</f>
        <v>1392840</v>
      </c>
      <c r="M39" s="157">
        <f>M38*M37*10</f>
        <v>1799880</v>
      </c>
      <c r="N39" s="197">
        <f>O39*0.3</f>
        <v>154579.8</v>
      </c>
      <c r="O39" s="100">
        <f>SUM(D39:H39)</f>
        <v>515266</v>
      </c>
      <c r="P39" s="100">
        <f>SUM(I39:M39)</f>
        <v>5152660</v>
      </c>
      <c r="Q39" s="109">
        <f>N39+O39+P39</f>
        <v>5822505.8</v>
      </c>
    </row>
    <row r="40" spans="1:17" ht="25.5" customHeight="1" thickBot="1">
      <c r="A40" s="145" t="s">
        <v>173</v>
      </c>
      <c r="B40" s="194">
        <f>B37+B34+B31+B19+B16</f>
        <v>60</v>
      </c>
      <c r="C40" s="151" t="s">
        <v>23</v>
      </c>
      <c r="D40" s="164">
        <f>D18+D21+D33+D36+D39</f>
        <v>489720</v>
      </c>
      <c r="E40" s="165">
        <f aca="true" t="shared" si="5" ref="E40:M40">E18+E21+E33+E36+E39</f>
        <v>1697484</v>
      </c>
      <c r="F40" s="165">
        <f t="shared" si="5"/>
        <v>607804</v>
      </c>
      <c r="G40" s="165">
        <f t="shared" si="5"/>
        <v>655080</v>
      </c>
      <c r="H40" s="166">
        <f t="shared" si="5"/>
        <v>538056</v>
      </c>
      <c r="I40" s="165">
        <f>I18+I21+I33+I36+I39</f>
        <v>4897200</v>
      </c>
      <c r="J40" s="158">
        <f t="shared" si="5"/>
        <v>16974840</v>
      </c>
      <c r="K40" s="158">
        <f t="shared" si="5"/>
        <v>6078040</v>
      </c>
      <c r="L40" s="158">
        <f t="shared" si="5"/>
        <v>6550800</v>
      </c>
      <c r="M40" s="159">
        <f t="shared" si="5"/>
        <v>5380560</v>
      </c>
      <c r="N40" s="152">
        <f>SUM(N18+N21+N24+N27+N30+N33+N36+N39)</f>
        <v>2210995.1999999997</v>
      </c>
      <c r="O40" s="19">
        <f>O18+O21+O33+O36+O39</f>
        <v>3988144</v>
      </c>
      <c r="P40" s="19">
        <f>P18+P21+P24+P27+P30+P33+P36+P39</f>
        <v>43263280</v>
      </c>
      <c r="Q40" s="110">
        <f>Q18+Q21+Q24+Q27+Q30+Q33+Q36+Q39</f>
        <v>49462419.199999996</v>
      </c>
    </row>
  </sheetData>
  <sheetProtection selectLockedCells="1" selectUnlockedCells="1"/>
  <mergeCells count="23">
    <mergeCell ref="C14:C15"/>
    <mergeCell ref="B28:B30"/>
    <mergeCell ref="A22:A24"/>
    <mergeCell ref="A25:A27"/>
    <mergeCell ref="B22:B24"/>
    <mergeCell ref="A28:A30"/>
    <mergeCell ref="I5:J5"/>
    <mergeCell ref="B16:B18"/>
    <mergeCell ref="A34:A36"/>
    <mergeCell ref="B34:B36"/>
    <mergeCell ref="D14:H14"/>
    <mergeCell ref="I14:M14"/>
    <mergeCell ref="H11:I11"/>
    <mergeCell ref="A14:A15"/>
    <mergeCell ref="B14:B15"/>
    <mergeCell ref="B25:B27"/>
    <mergeCell ref="B37:B39"/>
    <mergeCell ref="A37:A39"/>
    <mergeCell ref="A16:A18"/>
    <mergeCell ref="A19:A21"/>
    <mergeCell ref="B19:B21"/>
    <mergeCell ref="A31:A33"/>
    <mergeCell ref="B31:B33"/>
  </mergeCells>
  <printOptions/>
  <pageMargins left="1.7322834645669292" right="0.1968503937007874" top="0.8267716535433072" bottom="0.7086614173228347" header="0.4330708661417323" footer="0.4724409448818898"/>
  <pageSetup fitToHeight="2" horizontalDpi="300" verticalDpi="300" orientation="landscape" paperSize="5" scale="55" r:id="rId3"/>
  <headerFooter alignWithMargins="0">
    <oddHeader>&amp;LSEPT - 2004&amp;CDIRECTIVA D.B.S.A.
ORDINARIA&amp;R01-BS/0305/04</oddHeader>
    <oddFooter>&amp;LDEPARTAMENTO
RRHH Y GESTION&amp;C01-BS&amp;RPAG &amp;P</oddFooter>
  </headerFooter>
  <legacyDrawing r:id="rId2"/>
</worksheet>
</file>

<file path=xl/worksheets/sheet2.xml><?xml version="1.0" encoding="utf-8"?>
<worksheet xmlns="http://schemas.openxmlformats.org/spreadsheetml/2006/main" xmlns:r="http://schemas.openxmlformats.org/officeDocument/2006/relationships">
  <dimension ref="A1:M93"/>
  <sheetViews>
    <sheetView showGridLines="0" zoomScale="84" zoomScaleNormal="84" zoomScalePageLayoutView="0" workbookViewId="0" topLeftCell="A1">
      <pane ySplit="8" topLeftCell="A69" activePane="bottomLeft" state="frozen"/>
      <selection pane="topLeft" activeCell="A1" sqref="A1"/>
      <selection pane="bottomLeft" activeCell="D91" sqref="D91"/>
    </sheetView>
  </sheetViews>
  <sheetFormatPr defaultColWidth="11.421875" defaultRowHeight="12.75"/>
  <cols>
    <col min="1" max="1" width="15.8515625" style="1" customWidth="1"/>
    <col min="2" max="2" width="21.140625" style="1" customWidth="1"/>
    <col min="3" max="3" width="56.140625" style="1" customWidth="1"/>
    <col min="4" max="4" width="19.00390625" style="1" customWidth="1"/>
    <col min="5" max="5" width="16.28125" style="1" customWidth="1"/>
    <col min="6" max="6" width="12.28125" style="21" customWidth="1"/>
    <col min="7" max="7" width="16.57421875" style="4" customWidth="1"/>
    <col min="8" max="8" width="18.140625" style="4" customWidth="1"/>
    <col min="9" max="9" width="13.00390625" style="190" customWidth="1"/>
    <col min="10" max="16384" width="11.421875" style="1" customWidth="1"/>
  </cols>
  <sheetData>
    <row r="1" spans="2:8" ht="16.5">
      <c r="B1" s="429">
        <v>0</v>
      </c>
      <c r="C1" s="429"/>
      <c r="D1" s="429"/>
      <c r="E1" s="429"/>
      <c r="F1" s="429"/>
      <c r="G1" s="429"/>
      <c r="H1" s="1"/>
    </row>
    <row r="2" spans="2:8" ht="16.5">
      <c r="B2" s="430" t="s">
        <v>24</v>
      </c>
      <c r="C2" s="430"/>
      <c r="D2" s="430"/>
      <c r="E2" s="430"/>
      <c r="F2" s="430"/>
      <c r="G2" s="430"/>
      <c r="H2" s="1"/>
    </row>
    <row r="3" spans="2:10" ht="16.5">
      <c r="B3" s="430" t="s">
        <v>25</v>
      </c>
      <c r="C3" s="430"/>
      <c r="D3" s="430"/>
      <c r="E3" s="430"/>
      <c r="F3" s="430"/>
      <c r="G3" s="430"/>
      <c r="H3" s="1"/>
      <c r="J3" s="1" t="s">
        <v>181</v>
      </c>
    </row>
    <row r="4" spans="2:3" ht="6.75" customHeight="1">
      <c r="B4" s="4"/>
      <c r="C4" s="4"/>
    </row>
    <row r="5" spans="3:9" s="82" customFormat="1" ht="16.5">
      <c r="C5" s="84" t="s">
        <v>26</v>
      </c>
      <c r="D5" s="431" t="str">
        <f>'Ap. 2 Ingresos C. Benef.'!$I$5</f>
        <v>BIENVALP</v>
      </c>
      <c r="E5" s="432"/>
      <c r="F5" s="83"/>
      <c r="G5" s="83"/>
      <c r="H5" s="83"/>
      <c r="I5" s="190"/>
    </row>
    <row r="6" spans="1:13" ht="15" customHeight="1">
      <c r="A6" s="81"/>
      <c r="B6" s="81"/>
      <c r="C6" s="440"/>
      <c r="D6" s="440"/>
      <c r="K6" s="372">
        <f>D11/12</f>
        <v>7443089.583333333</v>
      </c>
      <c r="M6" s="1">
        <f>9789658/12</f>
        <v>815804.8333333334</v>
      </c>
    </row>
    <row r="7" spans="4:8" ht="16.5">
      <c r="D7" s="75" t="s">
        <v>27</v>
      </c>
      <c r="E7" s="433" t="s">
        <v>28</v>
      </c>
      <c r="F7" s="434"/>
      <c r="G7" s="76" t="s">
        <v>29</v>
      </c>
      <c r="H7" s="77" t="s">
        <v>30</v>
      </c>
    </row>
    <row r="8" spans="1:13" ht="25.5" customHeight="1" thickBot="1">
      <c r="A8" s="213" t="s">
        <v>31</v>
      </c>
      <c r="B8" s="435" t="s">
        <v>32</v>
      </c>
      <c r="C8" s="435"/>
      <c r="D8" s="78" t="s">
        <v>33</v>
      </c>
      <c r="E8" s="25" t="s">
        <v>34</v>
      </c>
      <c r="F8" s="25" t="s">
        <v>35</v>
      </c>
      <c r="G8" s="79" t="s">
        <v>36</v>
      </c>
      <c r="H8" s="80" t="s">
        <v>36</v>
      </c>
      <c r="M8" s="1">
        <f>8959/12</f>
        <v>746.5833333333334</v>
      </c>
    </row>
    <row r="9" spans="1:8" ht="15.75" customHeight="1">
      <c r="A9" s="446" t="s">
        <v>169</v>
      </c>
      <c r="B9" s="436" t="s">
        <v>111</v>
      </c>
      <c r="C9" s="437"/>
      <c r="D9" s="136">
        <f>SUM(D19:D20,D17,D11:D15)</f>
        <v>95085667.75</v>
      </c>
      <c r="E9" s="64">
        <f>SUM(E19:E20,E17,E11:E15)</f>
        <v>0</v>
      </c>
      <c r="F9" s="74"/>
      <c r="G9" s="64">
        <f>SUM(G19:G20,G17,G11:G15)</f>
        <v>0</v>
      </c>
      <c r="H9" s="65">
        <f>SUM(H19:H20,H17,H11:H15)</f>
        <v>95085667.75</v>
      </c>
    </row>
    <row r="10" spans="1:9" ht="16.5">
      <c r="A10" s="447"/>
      <c r="B10" s="427" t="s">
        <v>53</v>
      </c>
      <c r="C10" s="428"/>
      <c r="D10" s="414"/>
      <c r="E10" s="415"/>
      <c r="F10" s="415"/>
      <c r="G10" s="415"/>
      <c r="H10" s="416"/>
      <c r="I10" s="190" t="s">
        <v>259</v>
      </c>
    </row>
    <row r="11" spans="1:9" ht="12.75">
      <c r="A11" s="447"/>
      <c r="B11" s="423" t="s">
        <v>54</v>
      </c>
      <c r="C11" s="424"/>
      <c r="D11" s="141">
        <f>99106733-9789658</f>
        <v>89317075</v>
      </c>
      <c r="E11" s="28"/>
      <c r="F11" s="29"/>
      <c r="G11" s="27"/>
      <c r="H11" s="66">
        <f>G11+D11</f>
        <v>89317075</v>
      </c>
      <c r="I11" s="1" t="s">
        <v>267</v>
      </c>
    </row>
    <row r="12" spans="1:8" ht="16.5">
      <c r="A12" s="447"/>
      <c r="B12" s="423" t="s">
        <v>176</v>
      </c>
      <c r="C12" s="424"/>
      <c r="D12" s="141"/>
      <c r="E12" s="28">
        <v>0</v>
      </c>
      <c r="F12" s="29">
        <v>1</v>
      </c>
      <c r="G12" s="27">
        <f>E12*F12</f>
        <v>0</v>
      </c>
      <c r="H12" s="66">
        <f>G12+D12</f>
        <v>0</v>
      </c>
    </row>
    <row r="13" spans="1:8" ht="16.5">
      <c r="A13" s="447"/>
      <c r="B13" s="425" t="s">
        <v>55</v>
      </c>
      <c r="C13" s="426"/>
      <c r="D13" s="142">
        <v>0</v>
      </c>
      <c r="E13" s="28">
        <v>0</v>
      </c>
      <c r="F13" s="29">
        <v>1</v>
      </c>
      <c r="G13" s="27">
        <f>E13*F13</f>
        <v>0</v>
      </c>
      <c r="H13" s="66">
        <f>G13+D13</f>
        <v>0</v>
      </c>
    </row>
    <row r="14" spans="1:8" ht="16.5">
      <c r="A14" s="447"/>
      <c r="B14" s="423" t="s">
        <v>56</v>
      </c>
      <c r="C14" s="424"/>
      <c r="D14" s="141">
        <v>4640385</v>
      </c>
      <c r="E14" s="28">
        <v>0</v>
      </c>
      <c r="F14" s="29">
        <v>1</v>
      </c>
      <c r="G14" s="27">
        <f>E14*F14</f>
        <v>0</v>
      </c>
      <c r="H14" s="66">
        <f>G14+D14</f>
        <v>4640385</v>
      </c>
    </row>
    <row r="15" spans="1:8" ht="12.75" customHeight="1">
      <c r="A15" s="447"/>
      <c r="B15" s="423" t="s">
        <v>125</v>
      </c>
      <c r="C15" s="424"/>
      <c r="D15" s="144">
        <v>0</v>
      </c>
      <c r="E15" s="28">
        <v>0</v>
      </c>
      <c r="F15" s="29">
        <v>1</v>
      </c>
      <c r="G15" s="27">
        <f>E15*F15</f>
        <v>0</v>
      </c>
      <c r="H15" s="66">
        <f>G15+D15</f>
        <v>0</v>
      </c>
    </row>
    <row r="16" spans="1:9" ht="12.75" customHeight="1">
      <c r="A16" s="447"/>
      <c r="B16" s="427" t="s">
        <v>57</v>
      </c>
      <c r="C16" s="428"/>
      <c r="D16" s="414"/>
      <c r="E16" s="415"/>
      <c r="F16" s="415"/>
      <c r="G16" s="415"/>
      <c r="H16" s="416"/>
      <c r="I16" s="191"/>
    </row>
    <row r="17" spans="1:9" ht="12.75" customHeight="1">
      <c r="A17" s="447"/>
      <c r="B17" s="423" t="s">
        <v>58</v>
      </c>
      <c r="C17" s="424"/>
      <c r="D17" s="140">
        <f>+D11*0.01</f>
        <v>893170.75</v>
      </c>
      <c r="E17" s="28">
        <v>0</v>
      </c>
      <c r="F17" s="29">
        <v>1</v>
      </c>
      <c r="G17" s="27">
        <f>E17*F17</f>
        <v>0</v>
      </c>
      <c r="H17" s="66">
        <f>G17+D17</f>
        <v>893170.75</v>
      </c>
      <c r="I17" s="191" t="s">
        <v>177</v>
      </c>
    </row>
    <row r="18" spans="1:9" ht="12.75" customHeight="1">
      <c r="A18" s="447"/>
      <c r="B18" s="427" t="s">
        <v>59</v>
      </c>
      <c r="C18" s="428"/>
      <c r="D18" s="414"/>
      <c r="E18" s="415"/>
      <c r="F18" s="415"/>
      <c r="G18" s="415"/>
      <c r="H18" s="416"/>
      <c r="I18" s="191"/>
    </row>
    <row r="19" spans="1:9" ht="12.75" customHeight="1">
      <c r="A19" s="447"/>
      <c r="B19" s="59" t="s">
        <v>60</v>
      </c>
      <c r="C19" s="60"/>
      <c r="D19" s="133">
        <v>235037</v>
      </c>
      <c r="E19" s="28">
        <v>0</v>
      </c>
      <c r="F19" s="29">
        <v>1</v>
      </c>
      <c r="G19" s="27">
        <f>E19*F19</f>
        <v>0</v>
      </c>
      <c r="H19" s="66">
        <f>D19</f>
        <v>235037</v>
      </c>
      <c r="I19" s="191" t="s">
        <v>263</v>
      </c>
    </row>
    <row r="20" spans="1:9" ht="12.75" customHeight="1">
      <c r="A20" s="447"/>
      <c r="B20" s="61" t="s">
        <v>61</v>
      </c>
      <c r="C20" s="60"/>
      <c r="D20" s="138">
        <v>0</v>
      </c>
      <c r="E20" s="28">
        <v>0</v>
      </c>
      <c r="F20" s="29">
        <v>1</v>
      </c>
      <c r="G20" s="27">
        <f>E20*F20</f>
        <v>0</v>
      </c>
      <c r="H20" s="66">
        <f>G20+D20</f>
        <v>0</v>
      </c>
      <c r="I20" s="191"/>
    </row>
    <row r="21" spans="1:9" ht="12.75" customHeight="1">
      <c r="A21" s="447"/>
      <c r="B21" s="421" t="s">
        <v>62</v>
      </c>
      <c r="C21" s="422"/>
      <c r="D21" s="135">
        <f>SUM(D23:D24,D26:D28,D30:D31,D33:D44,D46:D54,D56:D62,D64:D66,D68:D73,D75:D76,D78:D81,D83:D84)</f>
        <v>34026522</v>
      </c>
      <c r="E21" s="26">
        <f>SUM(E23:E24,E26:E28,E30:E31,E33:E44,E46:E54,E56:E62,E64:E66,E68:E73,E75:E76,E78:E81,E83:E84)</f>
        <v>357559</v>
      </c>
      <c r="F21" s="73"/>
      <c r="G21" s="26">
        <f>SUM(G23:G24,G26:G28,G30:G31,G33:G44,G46:G54,G56:G62,G64:G66,G68:G73,G75:G76,G78:G81,G83:G84)</f>
        <v>7438936</v>
      </c>
      <c r="H21" s="67">
        <f>SUM(H23:H24,H26:H28,H30:H31,H33:H44,H46:H54,H56:H62,H64:H66,H68:H73,H75:H76,H78:H81,H83:H84)</f>
        <v>34026522</v>
      </c>
      <c r="I21" s="191"/>
    </row>
    <row r="22" spans="1:9" ht="12.75" customHeight="1">
      <c r="A22" s="447"/>
      <c r="B22" s="412" t="s">
        <v>63</v>
      </c>
      <c r="C22" s="413"/>
      <c r="D22" s="414"/>
      <c r="E22" s="415"/>
      <c r="F22" s="415"/>
      <c r="G22" s="415"/>
      <c r="H22" s="416"/>
      <c r="I22" s="191"/>
    </row>
    <row r="23" spans="1:9" ht="12.75" customHeight="1">
      <c r="A23" s="447"/>
      <c r="B23" s="425" t="s">
        <v>64</v>
      </c>
      <c r="C23" s="426"/>
      <c r="D23" s="346">
        <f>H23</f>
        <v>1198890</v>
      </c>
      <c r="E23" s="28">
        <v>1730</v>
      </c>
      <c r="F23" s="29">
        <f>3*21*11</f>
        <v>693</v>
      </c>
      <c r="G23" s="27">
        <f>E23*F23</f>
        <v>1198890</v>
      </c>
      <c r="H23" s="66">
        <f>G23</f>
        <v>1198890</v>
      </c>
      <c r="I23" s="191" t="s">
        <v>268</v>
      </c>
    </row>
    <row r="24" spans="1:9" ht="12.75" customHeight="1">
      <c r="A24" s="447"/>
      <c r="B24" s="62" t="s">
        <v>113</v>
      </c>
      <c r="C24" s="63"/>
      <c r="D24" s="347">
        <f>H24</f>
        <v>4408404</v>
      </c>
      <c r="E24" s="28">
        <v>734</v>
      </c>
      <c r="F24" s="29">
        <f>26*21*11</f>
        <v>6006</v>
      </c>
      <c r="G24" s="27">
        <f>E24*F24</f>
        <v>4408404</v>
      </c>
      <c r="H24" s="66">
        <f>G24</f>
        <v>4408404</v>
      </c>
      <c r="I24" s="191"/>
    </row>
    <row r="25" spans="1:9" ht="12.75" customHeight="1">
      <c r="A25" s="447"/>
      <c r="B25" s="412" t="s">
        <v>65</v>
      </c>
      <c r="C25" s="413"/>
      <c r="D25" s="414"/>
      <c r="E25" s="415"/>
      <c r="F25" s="415"/>
      <c r="G25" s="415"/>
      <c r="H25" s="416"/>
      <c r="I25" s="191"/>
    </row>
    <row r="26" spans="1:9" ht="12.75" customHeight="1">
      <c r="A26" s="447"/>
      <c r="B26" s="423" t="s">
        <v>112</v>
      </c>
      <c r="C26" s="424"/>
      <c r="D26" s="349">
        <v>468712</v>
      </c>
      <c r="E26" s="28">
        <v>0</v>
      </c>
      <c r="F26" s="29">
        <v>1</v>
      </c>
      <c r="G26" s="27">
        <f>E26*F26</f>
        <v>0</v>
      </c>
      <c r="H26" s="66">
        <f>G26+D26</f>
        <v>468712</v>
      </c>
      <c r="I26" s="191" t="s">
        <v>241</v>
      </c>
    </row>
    <row r="27" spans="1:9" ht="12.75" customHeight="1">
      <c r="A27" s="447"/>
      <c r="B27" s="423" t="s">
        <v>66</v>
      </c>
      <c r="C27" s="424"/>
      <c r="D27" s="350">
        <v>501916</v>
      </c>
      <c r="E27" s="28">
        <v>12399</v>
      </c>
      <c r="F27" s="29">
        <v>30</v>
      </c>
      <c r="G27" s="27">
        <f>E27*F27</f>
        <v>371970</v>
      </c>
      <c r="H27" s="66">
        <v>501916</v>
      </c>
      <c r="I27" s="191" t="s">
        <v>242</v>
      </c>
    </row>
    <row r="28" spans="1:9" ht="13.5" customHeight="1">
      <c r="A28" s="447"/>
      <c r="B28" s="423" t="s">
        <v>67</v>
      </c>
      <c r="C28" s="424"/>
      <c r="D28" s="348">
        <v>31260</v>
      </c>
      <c r="E28" s="28"/>
      <c r="F28" s="29">
        <v>1</v>
      </c>
      <c r="G28" s="27">
        <f>E28*F28</f>
        <v>0</v>
      </c>
      <c r="H28" s="66">
        <f>G28+D28</f>
        <v>31260</v>
      </c>
      <c r="I28" s="191" t="s">
        <v>225</v>
      </c>
    </row>
    <row r="29" spans="1:8" ht="12.75" customHeight="1">
      <c r="A29" s="447"/>
      <c r="B29" s="412" t="s">
        <v>68</v>
      </c>
      <c r="C29" s="413"/>
      <c r="D29" s="441"/>
      <c r="E29" s="442"/>
      <c r="F29" s="442"/>
      <c r="G29" s="442"/>
      <c r="H29" s="443"/>
    </row>
    <row r="30" spans="1:9" ht="12.75" customHeight="1">
      <c r="A30" s="447"/>
      <c r="B30" s="425" t="s">
        <v>69</v>
      </c>
      <c r="C30" s="426"/>
      <c r="D30" s="379">
        <v>0</v>
      </c>
      <c r="E30" s="28">
        <v>0</v>
      </c>
      <c r="F30" s="29">
        <v>1</v>
      </c>
      <c r="G30" s="27">
        <f>E30*F30</f>
        <v>0</v>
      </c>
      <c r="H30" s="381">
        <v>0</v>
      </c>
      <c r="I30" s="378" t="s">
        <v>235</v>
      </c>
    </row>
    <row r="31" spans="1:8" ht="16.5">
      <c r="A31" s="447"/>
      <c r="B31" s="423" t="s">
        <v>70</v>
      </c>
      <c r="C31" s="424"/>
      <c r="D31" s="138"/>
      <c r="E31" s="28">
        <v>0</v>
      </c>
      <c r="F31" s="29">
        <v>1</v>
      </c>
      <c r="G31" s="27">
        <f>E31*F31</f>
        <v>0</v>
      </c>
      <c r="H31" s="66">
        <f>G31+D31</f>
        <v>0</v>
      </c>
    </row>
    <row r="32" spans="1:8" ht="16.5">
      <c r="A32" s="447"/>
      <c r="B32" s="412" t="s">
        <v>71</v>
      </c>
      <c r="C32" s="413"/>
      <c r="D32" s="414"/>
      <c r="E32" s="415"/>
      <c r="F32" s="415"/>
      <c r="G32" s="415"/>
      <c r="H32" s="416"/>
    </row>
    <row r="33" spans="1:9" ht="16.5">
      <c r="A33" s="447"/>
      <c r="B33" s="425" t="s">
        <v>167</v>
      </c>
      <c r="C33" s="426"/>
      <c r="D33" s="346">
        <v>200755</v>
      </c>
      <c r="E33" s="28">
        <v>0</v>
      </c>
      <c r="F33" s="29">
        <v>1</v>
      </c>
      <c r="G33" s="27">
        <f>E33*F33</f>
        <v>0</v>
      </c>
      <c r="H33" s="66">
        <f>G33+D33</f>
        <v>200755</v>
      </c>
      <c r="I33" s="345" t="s">
        <v>240</v>
      </c>
    </row>
    <row r="34" spans="1:9" ht="16.5">
      <c r="A34" s="447"/>
      <c r="B34" s="425" t="s">
        <v>72</v>
      </c>
      <c r="C34" s="426"/>
      <c r="D34" s="351">
        <v>826134</v>
      </c>
      <c r="E34" s="28">
        <v>0</v>
      </c>
      <c r="F34" s="29">
        <v>1</v>
      </c>
      <c r="G34" s="27">
        <f aca="true" t="shared" si="0" ref="G34:G44">E34*F34</f>
        <v>0</v>
      </c>
      <c r="H34" s="66">
        <f aca="true" t="shared" si="1" ref="H34:H44">G34+D34</f>
        <v>826134</v>
      </c>
      <c r="I34" s="190" t="s">
        <v>243</v>
      </c>
    </row>
    <row r="35" spans="1:8" ht="16.5">
      <c r="A35" s="447"/>
      <c r="B35" s="62" t="s">
        <v>127</v>
      </c>
      <c r="C35" s="63"/>
      <c r="D35" s="140">
        <v>0</v>
      </c>
      <c r="E35" s="28">
        <v>0</v>
      </c>
      <c r="F35" s="29">
        <v>1</v>
      </c>
      <c r="G35" s="27">
        <f t="shared" si="0"/>
        <v>0</v>
      </c>
      <c r="H35" s="66">
        <f t="shared" si="1"/>
        <v>0</v>
      </c>
    </row>
    <row r="36" spans="1:9" ht="16.5">
      <c r="A36" s="447"/>
      <c r="B36" s="417" t="s">
        <v>73</v>
      </c>
      <c r="C36" s="418"/>
      <c r="D36" s="351">
        <v>51831</v>
      </c>
      <c r="E36" s="28">
        <v>0</v>
      </c>
      <c r="F36" s="29">
        <v>1</v>
      </c>
      <c r="G36" s="27">
        <f t="shared" si="0"/>
        <v>0</v>
      </c>
      <c r="H36" s="66">
        <f t="shared" si="1"/>
        <v>51831</v>
      </c>
      <c r="I36" s="190" t="s">
        <v>244</v>
      </c>
    </row>
    <row r="37" spans="1:9" ht="16.5">
      <c r="A37" s="447"/>
      <c r="B37" s="417" t="s">
        <v>74</v>
      </c>
      <c r="C37" s="418"/>
      <c r="D37" s="346">
        <v>149025</v>
      </c>
      <c r="E37" s="28">
        <v>0</v>
      </c>
      <c r="F37" s="29">
        <v>1</v>
      </c>
      <c r="G37" s="27">
        <f t="shared" si="0"/>
        <v>0</v>
      </c>
      <c r="H37" s="66">
        <f t="shared" si="1"/>
        <v>149025</v>
      </c>
      <c r="I37" s="190" t="s">
        <v>247</v>
      </c>
    </row>
    <row r="38" spans="1:9" ht="16.5">
      <c r="A38" s="447"/>
      <c r="B38" s="367" t="s">
        <v>75</v>
      </c>
      <c r="C38" s="368"/>
      <c r="D38" s="350">
        <v>437672</v>
      </c>
      <c r="E38" s="28">
        <v>0</v>
      </c>
      <c r="F38" s="29">
        <v>1</v>
      </c>
      <c r="G38" s="27">
        <f t="shared" si="0"/>
        <v>0</v>
      </c>
      <c r="H38" s="66">
        <f t="shared" si="1"/>
        <v>437672</v>
      </c>
      <c r="I38" s="190" t="s">
        <v>257</v>
      </c>
    </row>
    <row r="39" spans="1:8" ht="16.5">
      <c r="A39" s="447"/>
      <c r="B39" s="417" t="s">
        <v>114</v>
      </c>
      <c r="C39" s="418"/>
      <c r="D39" s="140"/>
      <c r="E39" s="28">
        <v>0</v>
      </c>
      <c r="F39" s="29">
        <v>1</v>
      </c>
      <c r="G39" s="27">
        <f t="shared" si="0"/>
        <v>0</v>
      </c>
      <c r="H39" s="66">
        <f t="shared" si="1"/>
        <v>0</v>
      </c>
    </row>
    <row r="40" spans="1:9" ht="16.5">
      <c r="A40" s="447"/>
      <c r="B40" s="417" t="s">
        <v>119</v>
      </c>
      <c r="C40" s="418"/>
      <c r="D40" s="351">
        <v>120395</v>
      </c>
      <c r="E40" s="28">
        <v>0</v>
      </c>
      <c r="F40" s="30">
        <v>1</v>
      </c>
      <c r="G40" s="27">
        <f t="shared" si="0"/>
        <v>0</v>
      </c>
      <c r="H40" s="66">
        <f t="shared" si="1"/>
        <v>120395</v>
      </c>
      <c r="I40" s="190" t="s">
        <v>245</v>
      </c>
    </row>
    <row r="41" spans="1:9" ht="16.5">
      <c r="A41" s="447"/>
      <c r="B41" s="417" t="s">
        <v>76</v>
      </c>
      <c r="C41" s="418"/>
      <c r="D41" s="351">
        <v>3131655</v>
      </c>
      <c r="E41" s="28">
        <v>0</v>
      </c>
      <c r="F41" s="30">
        <v>1</v>
      </c>
      <c r="G41" s="27">
        <f t="shared" si="0"/>
        <v>0</v>
      </c>
      <c r="H41" s="66">
        <f t="shared" si="1"/>
        <v>3131655</v>
      </c>
      <c r="I41" s="190" t="s">
        <v>246</v>
      </c>
    </row>
    <row r="42" spans="1:9" ht="16.5">
      <c r="A42" s="447"/>
      <c r="B42" s="417" t="s">
        <v>77</v>
      </c>
      <c r="C42" s="418"/>
      <c r="D42" s="351">
        <v>363744</v>
      </c>
      <c r="E42" s="28">
        <v>0</v>
      </c>
      <c r="F42" s="30">
        <v>1</v>
      </c>
      <c r="G42" s="27">
        <f t="shared" si="0"/>
        <v>0</v>
      </c>
      <c r="H42" s="66">
        <f t="shared" si="1"/>
        <v>363744</v>
      </c>
      <c r="I42" s="190" t="s">
        <v>226</v>
      </c>
    </row>
    <row r="43" spans="1:9" ht="16.5">
      <c r="A43" s="447"/>
      <c r="B43" s="417" t="s">
        <v>78</v>
      </c>
      <c r="C43" s="418"/>
      <c r="D43" s="350">
        <v>437051</v>
      </c>
      <c r="E43" s="28">
        <v>0</v>
      </c>
      <c r="F43" s="30">
        <v>1</v>
      </c>
      <c r="G43" s="27">
        <f t="shared" si="0"/>
        <v>0</v>
      </c>
      <c r="H43" s="66">
        <f t="shared" si="1"/>
        <v>437051</v>
      </c>
      <c r="I43" s="190" t="s">
        <v>258</v>
      </c>
    </row>
    <row r="44" spans="1:8" ht="16.5">
      <c r="A44" s="447"/>
      <c r="B44" s="417" t="s">
        <v>115</v>
      </c>
      <c r="C44" s="418"/>
      <c r="D44" s="139"/>
      <c r="E44" s="28">
        <v>0</v>
      </c>
      <c r="F44" s="30">
        <v>1</v>
      </c>
      <c r="G44" s="27">
        <f t="shared" si="0"/>
        <v>0</v>
      </c>
      <c r="H44" s="66">
        <f t="shared" si="1"/>
        <v>0</v>
      </c>
    </row>
    <row r="45" spans="1:9" s="4" customFormat="1" ht="16.5">
      <c r="A45" s="447"/>
      <c r="B45" s="419" t="s">
        <v>79</v>
      </c>
      <c r="C45" s="420"/>
      <c r="D45" s="414"/>
      <c r="E45" s="415"/>
      <c r="F45" s="415"/>
      <c r="G45" s="415"/>
      <c r="H45" s="416"/>
      <c r="I45" s="192"/>
    </row>
    <row r="46" spans="1:9" s="4" customFormat="1" ht="16.5">
      <c r="A46" s="447"/>
      <c r="B46" s="410" t="s">
        <v>126</v>
      </c>
      <c r="C46" s="411"/>
      <c r="D46" s="351">
        <v>2190932</v>
      </c>
      <c r="E46" s="28">
        <v>0</v>
      </c>
      <c r="F46" s="31">
        <v>1</v>
      </c>
      <c r="G46" s="27">
        <f>E46*F46</f>
        <v>0</v>
      </c>
      <c r="H46" s="66">
        <f>G46+D46</f>
        <v>2190932</v>
      </c>
      <c r="I46" s="190" t="s">
        <v>248</v>
      </c>
    </row>
    <row r="47" spans="1:9" ht="16.5">
      <c r="A47" s="447"/>
      <c r="B47" s="410" t="s">
        <v>37</v>
      </c>
      <c r="C47" s="411"/>
      <c r="D47" s="351">
        <v>2365615</v>
      </c>
      <c r="E47" s="28">
        <v>0</v>
      </c>
      <c r="F47" s="30">
        <v>1</v>
      </c>
      <c r="G47" s="27">
        <f aca="true" t="shared" si="2" ref="G47:G54">E47*F47</f>
        <v>0</v>
      </c>
      <c r="H47" s="66">
        <f aca="true" t="shared" si="3" ref="H47:H54">G47+D47</f>
        <v>2365615</v>
      </c>
      <c r="I47" s="190" t="s">
        <v>248</v>
      </c>
    </row>
    <row r="48" spans="1:9" ht="16.5">
      <c r="A48" s="447"/>
      <c r="B48" s="410" t="s">
        <v>38</v>
      </c>
      <c r="C48" s="411"/>
      <c r="D48" s="351">
        <v>4350912</v>
      </c>
      <c r="E48" s="28">
        <v>0</v>
      </c>
      <c r="F48" s="30">
        <v>1</v>
      </c>
      <c r="G48" s="27">
        <f t="shared" si="2"/>
        <v>0</v>
      </c>
      <c r="H48" s="66">
        <f t="shared" si="3"/>
        <v>4350912</v>
      </c>
      <c r="I48" s="190" t="s">
        <v>249</v>
      </c>
    </row>
    <row r="49" spans="1:8" ht="16.5">
      <c r="A49" s="447"/>
      <c r="B49" s="410" t="s">
        <v>80</v>
      </c>
      <c r="C49" s="411"/>
      <c r="D49" s="140"/>
      <c r="E49" s="28">
        <v>0</v>
      </c>
      <c r="F49" s="30">
        <v>1</v>
      </c>
      <c r="G49" s="27">
        <f t="shared" si="2"/>
        <v>0</v>
      </c>
      <c r="H49" s="66">
        <f t="shared" si="3"/>
        <v>0</v>
      </c>
    </row>
    <row r="50" spans="1:9" ht="16.5">
      <c r="A50" s="447"/>
      <c r="B50" s="410" t="s">
        <v>81</v>
      </c>
      <c r="C50" s="411"/>
      <c r="D50" s="350">
        <v>196657</v>
      </c>
      <c r="E50" s="28">
        <v>0</v>
      </c>
      <c r="F50" s="30">
        <v>1</v>
      </c>
      <c r="G50" s="27">
        <f t="shared" si="2"/>
        <v>0</v>
      </c>
      <c r="H50" s="66">
        <f t="shared" si="3"/>
        <v>196657</v>
      </c>
      <c r="I50" s="190" t="s">
        <v>250</v>
      </c>
    </row>
    <row r="51" spans="1:9" ht="16.5">
      <c r="A51" s="447"/>
      <c r="B51" s="410" t="s">
        <v>82</v>
      </c>
      <c r="C51" s="411"/>
      <c r="D51" s="350">
        <v>132889</v>
      </c>
      <c r="E51" s="28">
        <v>0</v>
      </c>
      <c r="F51" s="30">
        <v>1</v>
      </c>
      <c r="G51" s="27">
        <f t="shared" si="2"/>
        <v>0</v>
      </c>
      <c r="H51" s="66">
        <f t="shared" si="3"/>
        <v>132889</v>
      </c>
      <c r="I51" s="190" t="s">
        <v>251</v>
      </c>
    </row>
    <row r="52" spans="1:9" ht="16.5">
      <c r="A52" s="447"/>
      <c r="B52" s="410" t="s">
        <v>83</v>
      </c>
      <c r="C52" s="411"/>
      <c r="D52" s="140">
        <v>0</v>
      </c>
      <c r="E52" s="28">
        <v>0</v>
      </c>
      <c r="F52" s="30">
        <v>1</v>
      </c>
      <c r="G52" s="27">
        <f t="shared" si="2"/>
        <v>0</v>
      </c>
      <c r="H52" s="66">
        <f t="shared" si="3"/>
        <v>0</v>
      </c>
      <c r="I52" s="190" t="s">
        <v>178</v>
      </c>
    </row>
    <row r="53" spans="1:9" ht="16.5">
      <c r="A53" s="447"/>
      <c r="B53" s="410" t="s">
        <v>84</v>
      </c>
      <c r="C53" s="411"/>
      <c r="D53" s="140">
        <v>0</v>
      </c>
      <c r="E53" s="28">
        <v>0</v>
      </c>
      <c r="F53" s="30">
        <v>1</v>
      </c>
      <c r="G53" s="27">
        <f t="shared" si="2"/>
        <v>0</v>
      </c>
      <c r="H53" s="66">
        <f t="shared" si="3"/>
        <v>0</v>
      </c>
      <c r="I53" s="190" t="s">
        <v>179</v>
      </c>
    </row>
    <row r="54" spans="1:9" ht="16.5">
      <c r="A54" s="447"/>
      <c r="B54" s="410" t="s">
        <v>85</v>
      </c>
      <c r="C54" s="411"/>
      <c r="D54" s="140">
        <v>0</v>
      </c>
      <c r="E54" s="28">
        <v>0</v>
      </c>
      <c r="F54" s="30">
        <v>1</v>
      </c>
      <c r="G54" s="27">
        <f t="shared" si="2"/>
        <v>0</v>
      </c>
      <c r="H54" s="66">
        <f t="shared" si="3"/>
        <v>0</v>
      </c>
      <c r="I54" s="190" t="s">
        <v>180</v>
      </c>
    </row>
    <row r="55" spans="1:8" ht="16.5">
      <c r="A55" s="447"/>
      <c r="B55" s="438" t="s">
        <v>86</v>
      </c>
      <c r="C55" s="439"/>
      <c r="D55" s="414"/>
      <c r="E55" s="415"/>
      <c r="F55" s="415"/>
      <c r="G55" s="415"/>
      <c r="H55" s="416"/>
    </row>
    <row r="56" spans="1:9" ht="16.5">
      <c r="A56" s="447"/>
      <c r="B56" s="417" t="s">
        <v>87</v>
      </c>
      <c r="C56" s="418"/>
      <c r="D56" s="350">
        <v>2969220</v>
      </c>
      <c r="E56" s="28">
        <v>0</v>
      </c>
      <c r="F56" s="30">
        <v>1</v>
      </c>
      <c r="G56" s="27">
        <f>E56*F56</f>
        <v>0</v>
      </c>
      <c r="H56" s="66">
        <f aca="true" t="shared" si="4" ref="H56:H61">G56+D56</f>
        <v>2969220</v>
      </c>
      <c r="I56" s="190" t="s">
        <v>261</v>
      </c>
    </row>
    <row r="57" spans="1:9" ht="16.5">
      <c r="A57" s="447"/>
      <c r="B57" s="417" t="s">
        <v>88</v>
      </c>
      <c r="C57" s="418"/>
      <c r="D57" s="350">
        <v>680000</v>
      </c>
      <c r="E57" s="28">
        <v>0</v>
      </c>
      <c r="F57" s="30">
        <v>1</v>
      </c>
      <c r="G57" s="27">
        <f aca="true" t="shared" si="5" ref="G57:G62">E57*F57</f>
        <v>0</v>
      </c>
      <c r="H57" s="66">
        <f t="shared" si="4"/>
        <v>680000</v>
      </c>
      <c r="I57" s="190" t="s">
        <v>230</v>
      </c>
    </row>
    <row r="58" spans="1:9" ht="16.5">
      <c r="A58" s="447"/>
      <c r="B58" s="417" t="s">
        <v>89</v>
      </c>
      <c r="C58" s="418"/>
      <c r="D58" s="350">
        <v>704480</v>
      </c>
      <c r="E58" s="28">
        <v>0</v>
      </c>
      <c r="F58" s="30">
        <v>1</v>
      </c>
      <c r="G58" s="27">
        <f t="shared" si="5"/>
        <v>0</v>
      </c>
      <c r="H58" s="66">
        <f t="shared" si="4"/>
        <v>704480</v>
      </c>
      <c r="I58" s="190" t="s">
        <v>229</v>
      </c>
    </row>
    <row r="59" spans="1:9" ht="16.5">
      <c r="A59" s="447"/>
      <c r="B59" s="417" t="s">
        <v>90</v>
      </c>
      <c r="C59" s="418"/>
      <c r="D59" s="350">
        <v>420000</v>
      </c>
      <c r="E59" s="28">
        <v>0</v>
      </c>
      <c r="F59" s="30">
        <v>1</v>
      </c>
      <c r="G59" s="27">
        <f t="shared" si="5"/>
        <v>0</v>
      </c>
      <c r="H59" s="66">
        <f t="shared" si="4"/>
        <v>420000</v>
      </c>
      <c r="I59" s="190" t="s">
        <v>231</v>
      </c>
    </row>
    <row r="60" spans="1:8" ht="16.5">
      <c r="A60" s="447"/>
      <c r="B60" s="417" t="s">
        <v>91</v>
      </c>
      <c r="C60" s="418"/>
      <c r="D60" s="140">
        <v>0</v>
      </c>
      <c r="E60" s="28">
        <v>0</v>
      </c>
      <c r="F60" s="30">
        <v>1</v>
      </c>
      <c r="G60" s="27">
        <f t="shared" si="5"/>
        <v>0</v>
      </c>
      <c r="H60" s="66">
        <f t="shared" si="4"/>
        <v>0</v>
      </c>
    </row>
    <row r="61" spans="1:8" ht="16.5">
      <c r="A61" s="447"/>
      <c r="B61" s="417" t="s">
        <v>92</v>
      </c>
      <c r="C61" s="418"/>
      <c r="D61" s="140"/>
      <c r="E61" s="28">
        <v>0</v>
      </c>
      <c r="F61" s="30">
        <v>1</v>
      </c>
      <c r="G61" s="27">
        <f t="shared" si="5"/>
        <v>0</v>
      </c>
      <c r="H61" s="66">
        <f t="shared" si="4"/>
        <v>0</v>
      </c>
    </row>
    <row r="62" spans="1:9" ht="16.5">
      <c r="A62" s="447"/>
      <c r="B62" s="417" t="s">
        <v>93</v>
      </c>
      <c r="C62" s="418"/>
      <c r="D62" s="380">
        <v>0</v>
      </c>
      <c r="E62" s="28">
        <v>0</v>
      </c>
      <c r="F62" s="30">
        <v>1</v>
      </c>
      <c r="G62" s="27">
        <f t="shared" si="5"/>
        <v>0</v>
      </c>
      <c r="H62" s="381">
        <v>0</v>
      </c>
      <c r="I62" s="190" t="s">
        <v>252</v>
      </c>
    </row>
    <row r="63" spans="1:8" ht="16.5">
      <c r="A63" s="447"/>
      <c r="B63" s="438" t="s">
        <v>94</v>
      </c>
      <c r="C63" s="439"/>
      <c r="D63" s="414"/>
      <c r="E63" s="415"/>
      <c r="F63" s="415"/>
      <c r="G63" s="415"/>
      <c r="H63" s="416"/>
    </row>
    <row r="64" spans="1:8" ht="16.5">
      <c r="A64" s="447"/>
      <c r="B64" s="410" t="s">
        <v>95</v>
      </c>
      <c r="C64" s="411"/>
      <c r="D64" s="140">
        <v>0</v>
      </c>
      <c r="E64" s="28">
        <v>0</v>
      </c>
      <c r="F64" s="30">
        <v>1</v>
      </c>
      <c r="G64" s="27">
        <f>E64*F64</f>
        <v>0</v>
      </c>
      <c r="H64" s="66">
        <f>G64+D64</f>
        <v>0</v>
      </c>
    </row>
    <row r="65" spans="1:9" ht="16.5">
      <c r="A65" s="447"/>
      <c r="B65" s="410" t="s">
        <v>96</v>
      </c>
      <c r="C65" s="411"/>
      <c r="D65" s="350">
        <v>278464</v>
      </c>
      <c r="E65" s="28">
        <v>0</v>
      </c>
      <c r="F65" s="30">
        <v>1</v>
      </c>
      <c r="G65" s="27">
        <f>E65*F65</f>
        <v>0</v>
      </c>
      <c r="H65" s="66">
        <f>G65+D65</f>
        <v>278464</v>
      </c>
      <c r="I65" s="190" t="s">
        <v>227</v>
      </c>
    </row>
    <row r="66" spans="1:8" ht="16.5">
      <c r="A66" s="447"/>
      <c r="B66" s="410" t="s">
        <v>97</v>
      </c>
      <c r="C66" s="411"/>
      <c r="D66" s="140">
        <v>0</v>
      </c>
      <c r="E66" s="28">
        <v>0</v>
      </c>
      <c r="F66" s="30">
        <v>1</v>
      </c>
      <c r="G66" s="27">
        <f>E66*F66</f>
        <v>0</v>
      </c>
      <c r="H66" s="66">
        <f>G66+D66</f>
        <v>0</v>
      </c>
    </row>
    <row r="67" spans="1:8" ht="16.5">
      <c r="A67" s="447"/>
      <c r="B67" s="438" t="s">
        <v>39</v>
      </c>
      <c r="C67" s="439"/>
      <c r="D67" s="414"/>
      <c r="E67" s="415"/>
      <c r="F67" s="415"/>
      <c r="G67" s="415"/>
      <c r="H67" s="416"/>
    </row>
    <row r="68" spans="1:9" ht="16.5">
      <c r="A68" s="447"/>
      <c r="B68" s="417" t="s">
        <v>128</v>
      </c>
      <c r="C68" s="418"/>
      <c r="D68" s="350">
        <v>280000</v>
      </c>
      <c r="E68" s="28">
        <v>0</v>
      </c>
      <c r="F68" s="30">
        <v>1</v>
      </c>
      <c r="G68" s="27">
        <f aca="true" t="shared" si="6" ref="G68:G73">E68*F68</f>
        <v>0</v>
      </c>
      <c r="H68" s="66">
        <f aca="true" t="shared" si="7" ref="H68:H73">G68+D68</f>
        <v>280000</v>
      </c>
      <c r="I68" s="190" t="s">
        <v>228</v>
      </c>
    </row>
    <row r="69" spans="1:9" ht="16.5">
      <c r="A69" s="447"/>
      <c r="B69" s="410" t="s">
        <v>98</v>
      </c>
      <c r="C69" s="411"/>
      <c r="D69" s="351">
        <v>1675821</v>
      </c>
      <c r="E69" s="28">
        <v>0</v>
      </c>
      <c r="F69" s="30">
        <v>1</v>
      </c>
      <c r="G69" s="27">
        <f t="shared" si="6"/>
        <v>0</v>
      </c>
      <c r="H69" s="66">
        <f t="shared" si="7"/>
        <v>1675821</v>
      </c>
      <c r="I69" s="345" t="s">
        <v>253</v>
      </c>
    </row>
    <row r="70" spans="1:8" ht="16.5">
      <c r="A70" s="447"/>
      <c r="B70" s="410" t="s">
        <v>99</v>
      </c>
      <c r="C70" s="411"/>
      <c r="D70" s="140"/>
      <c r="E70" s="28">
        <v>0</v>
      </c>
      <c r="F70" s="30">
        <v>1</v>
      </c>
      <c r="G70" s="27">
        <f t="shared" si="6"/>
        <v>0</v>
      </c>
      <c r="H70" s="66">
        <f t="shared" si="7"/>
        <v>0</v>
      </c>
    </row>
    <row r="71" spans="1:9" ht="16.5">
      <c r="A71" s="447"/>
      <c r="B71" s="410" t="s">
        <v>100</v>
      </c>
      <c r="C71" s="411"/>
      <c r="D71" s="351">
        <v>463111</v>
      </c>
      <c r="E71" s="28">
        <v>0</v>
      </c>
      <c r="F71" s="30">
        <v>1</v>
      </c>
      <c r="G71" s="27">
        <f t="shared" si="6"/>
        <v>0</v>
      </c>
      <c r="H71" s="66">
        <f t="shared" si="7"/>
        <v>463111</v>
      </c>
      <c r="I71" s="190" t="s">
        <v>254</v>
      </c>
    </row>
    <row r="72" spans="1:9" ht="16.5">
      <c r="A72" s="447"/>
      <c r="B72" s="410" t="s">
        <v>101</v>
      </c>
      <c r="C72" s="411"/>
      <c r="D72" s="350">
        <v>442175</v>
      </c>
      <c r="E72" s="28">
        <v>180000</v>
      </c>
      <c r="F72" s="30">
        <v>1</v>
      </c>
      <c r="G72" s="27">
        <f t="shared" si="6"/>
        <v>180000</v>
      </c>
      <c r="H72" s="66">
        <f>D72</f>
        <v>442175</v>
      </c>
      <c r="I72" s="190" t="s">
        <v>255</v>
      </c>
    </row>
    <row r="73" spans="1:8" ht="16.5">
      <c r="A73" s="447"/>
      <c r="B73" s="367" t="s">
        <v>102</v>
      </c>
      <c r="C73" s="370"/>
      <c r="D73" s="140">
        <v>0</v>
      </c>
      <c r="E73" s="28">
        <v>0</v>
      </c>
      <c r="F73" s="30">
        <v>1</v>
      </c>
      <c r="G73" s="27">
        <f t="shared" si="6"/>
        <v>0</v>
      </c>
      <c r="H73" s="66">
        <f t="shared" si="7"/>
        <v>0</v>
      </c>
    </row>
    <row r="74" spans="1:8" ht="16.5">
      <c r="A74" s="447"/>
      <c r="B74" s="438" t="s">
        <v>103</v>
      </c>
      <c r="C74" s="439"/>
      <c r="D74" s="414"/>
      <c r="E74" s="415"/>
      <c r="F74" s="415"/>
      <c r="G74" s="415"/>
      <c r="H74" s="416"/>
    </row>
    <row r="75" spans="1:8" ht="16.5">
      <c r="A75" s="447"/>
      <c r="B75" s="410" t="s">
        <v>117</v>
      </c>
      <c r="C75" s="411"/>
      <c r="D75" s="347">
        <v>1764102</v>
      </c>
      <c r="E75" s="28">
        <v>0</v>
      </c>
      <c r="F75" s="30">
        <v>1</v>
      </c>
      <c r="G75" s="27">
        <f>F75*E75</f>
        <v>0</v>
      </c>
      <c r="H75" s="66">
        <f>G75+D75</f>
        <v>1764102</v>
      </c>
    </row>
    <row r="76" spans="1:9" ht="16.5">
      <c r="A76" s="447"/>
      <c r="B76" s="410" t="s">
        <v>118</v>
      </c>
      <c r="C76" s="411"/>
      <c r="D76" s="373">
        <f>H76</f>
        <v>185600</v>
      </c>
      <c r="E76" s="374">
        <v>6400</v>
      </c>
      <c r="F76" s="375">
        <v>29</v>
      </c>
      <c r="G76" s="376">
        <f>F76*E76</f>
        <v>185600</v>
      </c>
      <c r="H76" s="377">
        <f>G76</f>
        <v>185600</v>
      </c>
      <c r="I76" s="190" t="s">
        <v>262</v>
      </c>
    </row>
    <row r="77" spans="1:8" ht="16.5">
      <c r="A77" s="447"/>
      <c r="B77" s="438" t="s">
        <v>104</v>
      </c>
      <c r="C77" s="439"/>
      <c r="D77" s="414"/>
      <c r="E77" s="415"/>
      <c r="F77" s="415"/>
      <c r="G77" s="415"/>
      <c r="H77" s="416"/>
    </row>
    <row r="78" spans="1:9" ht="16.5">
      <c r="A78" s="447"/>
      <c r="B78" s="410" t="s">
        <v>105</v>
      </c>
      <c r="C78" s="411"/>
      <c r="D78" s="352">
        <v>1250400</v>
      </c>
      <c r="E78" s="28">
        <v>0</v>
      </c>
      <c r="F78" s="30">
        <v>1</v>
      </c>
      <c r="G78" s="27">
        <f>E78*F78</f>
        <v>0</v>
      </c>
      <c r="H78" s="66">
        <f>G78+D78</f>
        <v>1250400</v>
      </c>
      <c r="I78" s="190" t="s">
        <v>256</v>
      </c>
    </row>
    <row r="79" spans="1:8" ht="16.5">
      <c r="A79" s="447"/>
      <c r="B79" s="410" t="s">
        <v>106</v>
      </c>
      <c r="C79" s="411"/>
      <c r="D79" s="138">
        <v>0</v>
      </c>
      <c r="E79" s="28">
        <v>0</v>
      </c>
      <c r="F79" s="30">
        <v>1</v>
      </c>
      <c r="G79" s="27">
        <f>E79*F79</f>
        <v>0</v>
      </c>
      <c r="H79" s="66">
        <f>G79+D79</f>
        <v>0</v>
      </c>
    </row>
    <row r="80" spans="1:9" ht="16.5">
      <c r="A80" s="447"/>
      <c r="B80" s="369" t="s">
        <v>107</v>
      </c>
      <c r="C80" s="370"/>
      <c r="D80" s="352">
        <v>80963</v>
      </c>
      <c r="E80" s="28">
        <v>0</v>
      </c>
      <c r="F80" s="30">
        <v>1</v>
      </c>
      <c r="G80" s="27">
        <f>E80*F80</f>
        <v>0</v>
      </c>
      <c r="H80" s="66">
        <f>G80+D80</f>
        <v>80963</v>
      </c>
      <c r="I80" s="190" t="s">
        <v>232</v>
      </c>
    </row>
    <row r="81" spans="1:9" ht="16.5">
      <c r="A81" s="447"/>
      <c r="B81" s="417" t="s">
        <v>168</v>
      </c>
      <c r="C81" s="418"/>
      <c r="D81" s="137">
        <v>173665</v>
      </c>
      <c r="E81" s="56">
        <v>0</v>
      </c>
      <c r="F81" s="57">
        <v>1</v>
      </c>
      <c r="G81" s="27">
        <f>E81*F81</f>
        <v>0</v>
      </c>
      <c r="H81" s="68">
        <f>G81+D81</f>
        <v>173665</v>
      </c>
      <c r="I81" s="190" t="s">
        <v>260</v>
      </c>
    </row>
    <row r="82" spans="1:8" ht="16.5">
      <c r="A82" s="447"/>
      <c r="B82" s="438" t="s">
        <v>108</v>
      </c>
      <c r="C82" s="439"/>
      <c r="D82" s="453"/>
      <c r="E82" s="454"/>
      <c r="F82" s="454"/>
      <c r="G82" s="454"/>
      <c r="H82" s="455"/>
    </row>
    <row r="83" spans="1:9" ht="16.5">
      <c r="A83" s="447"/>
      <c r="B83" s="417" t="s">
        <v>109</v>
      </c>
      <c r="C83" s="418"/>
      <c r="D83" s="346">
        <f>H83</f>
        <v>1094072</v>
      </c>
      <c r="E83" s="28">
        <v>156296</v>
      </c>
      <c r="F83" s="30">
        <v>7</v>
      </c>
      <c r="G83" s="27">
        <f>E83*F83</f>
        <v>1094072</v>
      </c>
      <c r="H83" s="66">
        <f>G83</f>
        <v>1094072</v>
      </c>
      <c r="I83" s="190" t="s">
        <v>236</v>
      </c>
    </row>
    <row r="84" spans="1:8" ht="16.5">
      <c r="A84" s="447"/>
      <c r="B84" s="367" t="s">
        <v>116</v>
      </c>
      <c r="C84" s="368"/>
      <c r="D84" s="139">
        <v>0</v>
      </c>
      <c r="E84" s="28">
        <v>0</v>
      </c>
      <c r="F84" s="30">
        <v>1</v>
      </c>
      <c r="G84" s="27">
        <f>E84*F84</f>
        <v>0</v>
      </c>
      <c r="H84" s="66">
        <f>G84+D84</f>
        <v>0</v>
      </c>
    </row>
    <row r="85" spans="1:8" ht="16.5">
      <c r="A85" s="447"/>
      <c r="B85" s="449" t="s">
        <v>110</v>
      </c>
      <c r="C85" s="450"/>
      <c r="D85" s="135">
        <f>SUM(D86:D90)</f>
        <v>466200</v>
      </c>
      <c r="E85" s="26">
        <f>SUM(E86:E90)</f>
        <v>0</v>
      </c>
      <c r="F85" s="73"/>
      <c r="G85" s="26">
        <f>SUM(G86:G90)</f>
        <v>0</v>
      </c>
      <c r="H85" s="67">
        <f>SUM(H86:H90)</f>
        <v>466200</v>
      </c>
    </row>
    <row r="86" spans="1:8" ht="16.5">
      <c r="A86" s="447"/>
      <c r="B86" s="451" t="s">
        <v>120</v>
      </c>
      <c r="C86" s="452"/>
      <c r="D86" s="143"/>
      <c r="E86" s="56">
        <v>0</v>
      </c>
      <c r="F86" s="57">
        <v>1</v>
      </c>
      <c r="G86" s="55">
        <f>E86*F86</f>
        <v>0</v>
      </c>
      <c r="H86" s="68">
        <f>G86+D86</f>
        <v>0</v>
      </c>
    </row>
    <row r="87" spans="1:9" ht="13.5">
      <c r="A87" s="447"/>
      <c r="B87" s="451" t="s">
        <v>121</v>
      </c>
      <c r="C87" s="452"/>
      <c r="D87" s="138"/>
      <c r="E87" s="28">
        <v>0</v>
      </c>
      <c r="F87" s="30">
        <v>1</v>
      </c>
      <c r="G87" s="27">
        <f>E87*F87</f>
        <v>0</v>
      </c>
      <c r="H87" s="66">
        <f>G87+D87</f>
        <v>0</v>
      </c>
      <c r="I87" s="190" t="s">
        <v>233</v>
      </c>
    </row>
    <row r="88" spans="1:9" ht="13.5">
      <c r="A88" s="447"/>
      <c r="B88" s="451" t="s">
        <v>122</v>
      </c>
      <c r="C88" s="452"/>
      <c r="D88" s="353">
        <v>466200</v>
      </c>
      <c r="E88" s="28">
        <v>0</v>
      </c>
      <c r="F88" s="30">
        <v>1</v>
      </c>
      <c r="G88" s="27">
        <f>E88*F88</f>
        <v>0</v>
      </c>
      <c r="H88" s="66">
        <f>G88+D88</f>
        <v>466200</v>
      </c>
      <c r="I88" s="190" t="s">
        <v>234</v>
      </c>
    </row>
    <row r="89" spans="1:8" ht="13.5">
      <c r="A89" s="447"/>
      <c r="B89" s="451" t="s">
        <v>123</v>
      </c>
      <c r="C89" s="452"/>
      <c r="D89" s="138">
        <v>0</v>
      </c>
      <c r="E89" s="28">
        <v>0</v>
      </c>
      <c r="F89" s="30">
        <v>1</v>
      </c>
      <c r="G89" s="27">
        <f>E89*F89</f>
        <v>0</v>
      </c>
      <c r="H89" s="66">
        <f>G89+D89</f>
        <v>0</v>
      </c>
    </row>
    <row r="90" spans="1:8" ht="13.5">
      <c r="A90" s="447"/>
      <c r="B90" s="451" t="s">
        <v>124</v>
      </c>
      <c r="C90" s="452"/>
      <c r="D90" s="139"/>
      <c r="E90" s="56">
        <v>0</v>
      </c>
      <c r="F90" s="57">
        <v>1</v>
      </c>
      <c r="G90" s="55">
        <f>E90*F90</f>
        <v>0</v>
      </c>
      <c r="H90" s="68">
        <f>G90+D90</f>
        <v>0</v>
      </c>
    </row>
    <row r="91" spans="1:8" ht="14.25" thickBot="1">
      <c r="A91" s="448"/>
      <c r="B91" s="444" t="s">
        <v>40</v>
      </c>
      <c r="C91" s="445"/>
      <c r="D91" s="134">
        <f>SUM(D9,D21,D85)</f>
        <v>129578389.75</v>
      </c>
      <c r="E91" s="69">
        <f>SUM(E85,E21,E9)</f>
        <v>357559</v>
      </c>
      <c r="F91" s="72"/>
      <c r="G91" s="70">
        <f>SUM(G85,G21,G9)</f>
        <v>7438936</v>
      </c>
      <c r="H91" s="71">
        <f>SUM(H85,H21,H9)</f>
        <v>129578389.75</v>
      </c>
    </row>
    <row r="92" spans="2:3" ht="13.5">
      <c r="B92" s="371"/>
      <c r="C92" s="371"/>
    </row>
    <row r="93" spans="2:3" ht="13.5">
      <c r="B93" s="371"/>
      <c r="C93" s="371"/>
    </row>
  </sheetData>
  <sheetProtection/>
  <mergeCells count="97">
    <mergeCell ref="B83:C83"/>
    <mergeCell ref="B78:C78"/>
    <mergeCell ref="D77:H77"/>
    <mergeCell ref="D82:H82"/>
    <mergeCell ref="B79:C79"/>
    <mergeCell ref="B81:C81"/>
    <mergeCell ref="B82:C82"/>
    <mergeCell ref="D45:H45"/>
    <mergeCell ref="B91:C91"/>
    <mergeCell ref="A9:A91"/>
    <mergeCell ref="B85:C85"/>
    <mergeCell ref="B86:C86"/>
    <mergeCell ref="B87:C87"/>
    <mergeCell ref="B88:C88"/>
    <mergeCell ref="B89:C89"/>
    <mergeCell ref="B90:C90"/>
    <mergeCell ref="B77:C77"/>
    <mergeCell ref="B72:C72"/>
    <mergeCell ref="B74:C74"/>
    <mergeCell ref="C6:D6"/>
    <mergeCell ref="D10:H10"/>
    <mergeCell ref="D16:H16"/>
    <mergeCell ref="D18:H18"/>
    <mergeCell ref="D22:H22"/>
    <mergeCell ref="D25:H25"/>
    <mergeCell ref="D29:H29"/>
    <mergeCell ref="D32:H32"/>
    <mergeCell ref="B71:C71"/>
    <mergeCell ref="B68:C68"/>
    <mergeCell ref="B53:C53"/>
    <mergeCell ref="B56:C56"/>
    <mergeCell ref="B63:C63"/>
    <mergeCell ref="B66:C66"/>
    <mergeCell ref="B61:C61"/>
    <mergeCell ref="B69:C69"/>
    <mergeCell ref="B70:C70"/>
    <mergeCell ref="B60:C60"/>
    <mergeCell ref="B39:C39"/>
    <mergeCell ref="B40:C40"/>
    <mergeCell ref="B51:C51"/>
    <mergeCell ref="B67:C67"/>
    <mergeCell ref="B52:C52"/>
    <mergeCell ref="B65:C65"/>
    <mergeCell ref="B62:C62"/>
    <mergeCell ref="B57:C57"/>
    <mergeCell ref="B58:C58"/>
    <mergeCell ref="B59:C59"/>
    <mergeCell ref="B22:C22"/>
    <mergeCell ref="D55:H55"/>
    <mergeCell ref="B55:C55"/>
    <mergeCell ref="B34:C34"/>
    <mergeCell ref="B36:C36"/>
    <mergeCell ref="B37:C37"/>
    <mergeCell ref="B33:C33"/>
    <mergeCell ref="B41:C41"/>
    <mergeCell ref="B42:C42"/>
    <mergeCell ref="B43:C43"/>
    <mergeCell ref="B18:C18"/>
    <mergeCell ref="D63:H63"/>
    <mergeCell ref="D67:H67"/>
    <mergeCell ref="B1:G1"/>
    <mergeCell ref="B2:G2"/>
    <mergeCell ref="B3:G3"/>
    <mergeCell ref="D5:E5"/>
    <mergeCell ref="E7:F7"/>
    <mergeCell ref="B8:C8"/>
    <mergeCell ref="B9:C9"/>
    <mergeCell ref="B31:C31"/>
    <mergeCell ref="B23:C23"/>
    <mergeCell ref="B10:C10"/>
    <mergeCell ref="B11:C11"/>
    <mergeCell ref="B12:C12"/>
    <mergeCell ref="B13:C13"/>
    <mergeCell ref="B14:C14"/>
    <mergeCell ref="B15:C15"/>
    <mergeCell ref="B16:C16"/>
    <mergeCell ref="B17:C17"/>
    <mergeCell ref="B54:C54"/>
    <mergeCell ref="B21:C21"/>
    <mergeCell ref="B76:C76"/>
    <mergeCell ref="B75:C75"/>
    <mergeCell ref="B25:C25"/>
    <mergeCell ref="B26:C26"/>
    <mergeCell ref="B27:C27"/>
    <mergeCell ref="B28:C28"/>
    <mergeCell ref="B29:C29"/>
    <mergeCell ref="B30:C30"/>
    <mergeCell ref="B64:C64"/>
    <mergeCell ref="B32:C32"/>
    <mergeCell ref="D74:H74"/>
    <mergeCell ref="B44:C44"/>
    <mergeCell ref="B45:C45"/>
    <mergeCell ref="B46:C46"/>
    <mergeCell ref="B47:C47"/>
    <mergeCell ref="B48:C48"/>
    <mergeCell ref="B49:C49"/>
    <mergeCell ref="B50:C50"/>
  </mergeCells>
  <printOptions/>
  <pageMargins left="1.7716535433070868" right="0.4724409448818898" top="0.41" bottom="0.5905511811023623" header="0.2362204724409449" footer="0.4724409448818898"/>
  <pageSetup fitToHeight="18" horizontalDpi="300" verticalDpi="300" orientation="landscape" paperSize="5" scale="45" r:id="rId3"/>
  <headerFooter alignWithMargins="0">
    <oddHeader>&amp;LSEPT - 2004&amp;CDIRECTIVA D.B.S.A.
ORDINARIO&amp;R01-BS/0305/04</oddHeader>
    <oddFooter>&amp;LDEPARTAMENTO 
RRHH Y GESTION&amp;C01-BS&amp;RPAG &amp;P</oddFooter>
  </headerFooter>
  <legacyDrawing r:id="rId2"/>
</worksheet>
</file>

<file path=xl/worksheets/sheet3.xml><?xml version="1.0" encoding="utf-8"?>
<worksheet xmlns="http://schemas.openxmlformats.org/spreadsheetml/2006/main" xmlns:r="http://schemas.openxmlformats.org/officeDocument/2006/relationships">
  <dimension ref="A1:C95"/>
  <sheetViews>
    <sheetView showGridLines="0" zoomScale="80" zoomScaleNormal="80" zoomScalePageLayoutView="0" workbookViewId="0" topLeftCell="A1">
      <pane ySplit="9" topLeftCell="A10" activePane="bottomLeft" state="frozen"/>
      <selection pane="topLeft" activeCell="A1" sqref="A1"/>
      <selection pane="bottomLeft" activeCell="A31" sqref="A31"/>
    </sheetView>
  </sheetViews>
  <sheetFormatPr defaultColWidth="11.421875" defaultRowHeight="12.75"/>
  <cols>
    <col min="1" max="1" width="97.28125" style="1" customWidth="1"/>
    <col min="2" max="2" width="20.57421875" style="1" customWidth="1"/>
    <col min="3" max="3" width="13.140625" style="32" customWidth="1"/>
    <col min="4" max="4" width="77.421875" style="1" bestFit="1" customWidth="1"/>
    <col min="5" max="16384" width="11.421875" style="1" customWidth="1"/>
  </cols>
  <sheetData>
    <row r="1" spans="1:3" ht="13.5">
      <c r="A1" s="430" t="s">
        <v>0</v>
      </c>
      <c r="B1" s="430"/>
      <c r="C1" s="3"/>
    </row>
    <row r="2" spans="1:3" ht="13.5">
      <c r="A2" s="430" t="s">
        <v>24</v>
      </c>
      <c r="B2" s="430"/>
      <c r="C2" s="3"/>
    </row>
    <row r="3" spans="1:3" ht="13.5">
      <c r="A3" s="430" t="s">
        <v>41</v>
      </c>
      <c r="B3" s="430"/>
      <c r="C3" s="4"/>
    </row>
    <row r="4" ht="6.75" customHeight="1">
      <c r="A4" s="4"/>
    </row>
    <row r="5" spans="1:3" ht="13.5">
      <c r="A5" s="5" t="s">
        <v>42</v>
      </c>
      <c r="B5" s="23" t="str">
        <f>'Ap. 2 Ingresos C. Benef.'!$I$5</f>
        <v>BIENVALP</v>
      </c>
      <c r="C5" s="33"/>
    </row>
    <row r="6" ht="13.5">
      <c r="A6" s="4"/>
    </row>
    <row r="7" spans="1:3" ht="13.5">
      <c r="A7" s="34"/>
      <c r="B7" s="24" t="s">
        <v>43</v>
      </c>
      <c r="C7" s="1"/>
    </row>
    <row r="8" spans="1:3" ht="13.5">
      <c r="A8" s="35" t="s">
        <v>44</v>
      </c>
      <c r="B8" s="36" t="s">
        <v>33</v>
      </c>
      <c r="C8" s="1"/>
    </row>
    <row r="9" spans="1:3" ht="13.5">
      <c r="A9" s="58" t="s">
        <v>40</v>
      </c>
      <c r="B9" s="93">
        <v>0</v>
      </c>
      <c r="C9" s="1"/>
    </row>
    <row r="10" spans="1:3" ht="13.5">
      <c r="A10" s="85" t="s">
        <v>111</v>
      </c>
      <c r="B10" s="86">
        <f>SUM(B11:B19)</f>
        <v>0</v>
      </c>
      <c r="C10" s="1"/>
    </row>
    <row r="11" spans="1:3" ht="13.5">
      <c r="A11" s="87" t="s">
        <v>130</v>
      </c>
      <c r="B11" s="88">
        <v>0</v>
      </c>
      <c r="C11" s="1"/>
    </row>
    <row r="12" spans="1:3" ht="13.5">
      <c r="A12" s="87" t="s">
        <v>131</v>
      </c>
      <c r="B12" s="88">
        <v>0</v>
      </c>
      <c r="C12" s="1"/>
    </row>
    <row r="13" spans="1:3" ht="13.5">
      <c r="A13" s="87" t="s">
        <v>132</v>
      </c>
      <c r="B13" s="88">
        <v>0</v>
      </c>
      <c r="C13" s="1"/>
    </row>
    <row r="14" spans="1:3" ht="13.5">
      <c r="A14" s="87" t="s">
        <v>133</v>
      </c>
      <c r="B14" s="88">
        <v>0</v>
      </c>
      <c r="C14" s="1"/>
    </row>
    <row r="15" spans="1:3" ht="13.5">
      <c r="A15" s="97" t="s">
        <v>129</v>
      </c>
      <c r="B15" s="88">
        <v>0</v>
      </c>
      <c r="C15" s="1"/>
    </row>
    <row r="16" spans="1:3" ht="13.5">
      <c r="A16" s="87" t="s">
        <v>134</v>
      </c>
      <c r="B16" s="88">
        <v>0</v>
      </c>
      <c r="C16" s="1"/>
    </row>
    <row r="17" spans="1:3" ht="13.5">
      <c r="A17" s="87" t="s">
        <v>135</v>
      </c>
      <c r="B17" s="88">
        <v>0</v>
      </c>
      <c r="C17" s="1"/>
    </row>
    <row r="18" spans="1:3" ht="13.5">
      <c r="A18" s="87" t="s">
        <v>136</v>
      </c>
      <c r="B18" s="88">
        <v>0</v>
      </c>
      <c r="C18" s="1"/>
    </row>
    <row r="19" spans="1:3" ht="13.5">
      <c r="A19" s="87" t="s">
        <v>137</v>
      </c>
      <c r="B19" s="88">
        <v>0</v>
      </c>
      <c r="C19" s="1"/>
    </row>
    <row r="20" spans="1:3" ht="13.5">
      <c r="A20" s="89" t="s">
        <v>62</v>
      </c>
      <c r="B20" s="86">
        <f>SUM(B22,B24,B26,B28:B31,B33:B34,B36:B39,B41:B49,B51:B53)</f>
        <v>0</v>
      </c>
      <c r="C20" s="1"/>
    </row>
    <row r="21" spans="1:3" ht="13.5">
      <c r="A21" s="458" t="s">
        <v>63</v>
      </c>
      <c r="B21" s="459"/>
      <c r="C21" s="1"/>
    </row>
    <row r="22" spans="1:3" ht="13.5">
      <c r="A22" s="87" t="s">
        <v>138</v>
      </c>
      <c r="B22" s="88">
        <v>0</v>
      </c>
      <c r="C22" s="1"/>
    </row>
    <row r="23" spans="1:3" ht="13.5">
      <c r="A23" s="458" t="s">
        <v>65</v>
      </c>
      <c r="B23" s="459"/>
      <c r="C23" s="1"/>
    </row>
    <row r="24" spans="1:3" ht="13.5">
      <c r="A24" s="87" t="s">
        <v>139</v>
      </c>
      <c r="B24" s="88">
        <v>0</v>
      </c>
      <c r="C24" s="1"/>
    </row>
    <row r="25" spans="1:3" ht="13.5">
      <c r="A25" s="458" t="s">
        <v>68</v>
      </c>
      <c r="B25" s="459"/>
      <c r="C25" s="1"/>
    </row>
    <row r="26" spans="1:3" ht="13.5">
      <c r="A26" s="90" t="s">
        <v>140</v>
      </c>
      <c r="B26" s="91">
        <v>0</v>
      </c>
      <c r="C26" s="1"/>
    </row>
    <row r="27" spans="1:3" ht="13.5">
      <c r="A27" s="456" t="s">
        <v>104</v>
      </c>
      <c r="B27" s="457"/>
      <c r="C27" s="1"/>
    </row>
    <row r="28" spans="1:3" ht="13.5">
      <c r="A28" s="87" t="s">
        <v>141</v>
      </c>
      <c r="B28" s="88">
        <v>0</v>
      </c>
      <c r="C28" s="1"/>
    </row>
    <row r="29" spans="1:3" ht="13.5">
      <c r="A29" s="87" t="s">
        <v>142</v>
      </c>
      <c r="B29" s="88">
        <v>0</v>
      </c>
      <c r="C29" s="1"/>
    </row>
    <row r="30" spans="1:3" ht="13.5">
      <c r="A30" s="87" t="s">
        <v>143</v>
      </c>
      <c r="B30" s="88">
        <v>0</v>
      </c>
      <c r="C30" s="1"/>
    </row>
    <row r="31" spans="1:3" ht="13.5">
      <c r="A31" s="87" t="s">
        <v>144</v>
      </c>
      <c r="B31" s="88">
        <v>0</v>
      </c>
      <c r="C31" s="1"/>
    </row>
    <row r="32" spans="1:3" ht="13.5">
      <c r="A32" s="456" t="s">
        <v>108</v>
      </c>
      <c r="B32" s="457"/>
      <c r="C32" s="1"/>
    </row>
    <row r="33" spans="1:3" ht="13.5">
      <c r="A33" s="87" t="s">
        <v>145</v>
      </c>
      <c r="B33" s="88">
        <v>0</v>
      </c>
      <c r="C33" s="1"/>
    </row>
    <row r="34" spans="1:3" ht="13.5">
      <c r="A34" s="92" t="s">
        <v>116</v>
      </c>
      <c r="B34" s="88">
        <v>0</v>
      </c>
      <c r="C34" s="1"/>
    </row>
    <row r="35" spans="1:3" ht="13.5">
      <c r="A35" s="458" t="s">
        <v>71</v>
      </c>
      <c r="B35" s="459"/>
      <c r="C35" s="1"/>
    </row>
    <row r="36" spans="1:3" ht="13.5">
      <c r="A36" s="87" t="s">
        <v>146</v>
      </c>
      <c r="B36" s="88">
        <v>0</v>
      </c>
      <c r="C36" s="1"/>
    </row>
    <row r="37" spans="1:3" ht="13.5">
      <c r="A37" s="87" t="s">
        <v>147</v>
      </c>
      <c r="B37" s="88">
        <v>0</v>
      </c>
      <c r="C37" s="1"/>
    </row>
    <row r="38" spans="1:3" ht="13.5">
      <c r="A38" s="87" t="s">
        <v>148</v>
      </c>
      <c r="B38" s="88">
        <v>0</v>
      </c>
      <c r="C38" s="1"/>
    </row>
    <row r="39" spans="1:3" ht="13.5">
      <c r="A39" s="87" t="s">
        <v>149</v>
      </c>
      <c r="B39" s="88">
        <v>0</v>
      </c>
      <c r="C39" s="1"/>
    </row>
    <row r="40" spans="1:3" ht="13.5">
      <c r="A40" s="458" t="s">
        <v>79</v>
      </c>
      <c r="B40" s="459"/>
      <c r="C40" s="1"/>
    </row>
    <row r="41" spans="1:3" ht="13.5">
      <c r="A41" s="87" t="s">
        <v>150</v>
      </c>
      <c r="B41" s="88">
        <v>0</v>
      </c>
      <c r="C41" s="1"/>
    </row>
    <row r="42" spans="1:3" ht="13.5">
      <c r="A42" s="87" t="s">
        <v>151</v>
      </c>
      <c r="B42" s="88">
        <v>0</v>
      </c>
      <c r="C42" s="1"/>
    </row>
    <row r="43" spans="1:3" ht="13.5">
      <c r="A43" s="87" t="s">
        <v>152</v>
      </c>
      <c r="B43" s="88">
        <v>0</v>
      </c>
      <c r="C43" s="1"/>
    </row>
    <row r="44" spans="1:3" ht="13.5">
      <c r="A44" s="87" t="s">
        <v>153</v>
      </c>
      <c r="B44" s="88">
        <v>0</v>
      </c>
      <c r="C44" s="1"/>
    </row>
    <row r="45" spans="1:3" ht="13.5">
      <c r="A45" s="87" t="s">
        <v>154</v>
      </c>
      <c r="B45" s="88">
        <v>0</v>
      </c>
      <c r="C45" s="1"/>
    </row>
    <row r="46" spans="1:3" ht="13.5">
      <c r="A46" s="87" t="s">
        <v>155</v>
      </c>
      <c r="B46" s="88">
        <v>0</v>
      </c>
      <c r="C46" s="1"/>
    </row>
    <row r="47" spans="1:3" ht="13.5">
      <c r="A47" s="87" t="s">
        <v>156</v>
      </c>
      <c r="B47" s="88">
        <v>0</v>
      </c>
      <c r="C47" s="1"/>
    </row>
    <row r="48" spans="1:3" ht="13.5">
      <c r="A48" s="87" t="s">
        <v>157</v>
      </c>
      <c r="B48" s="88">
        <v>0</v>
      </c>
      <c r="C48" s="1"/>
    </row>
    <row r="49" spans="1:3" ht="13.5">
      <c r="A49" s="87" t="s">
        <v>158</v>
      </c>
      <c r="B49" s="88">
        <v>0</v>
      </c>
      <c r="C49" s="1"/>
    </row>
    <row r="50" spans="1:3" ht="13.5">
      <c r="A50" s="456" t="s">
        <v>94</v>
      </c>
      <c r="B50" s="457"/>
      <c r="C50" s="1"/>
    </row>
    <row r="51" spans="1:3" ht="13.5">
      <c r="A51" s="87" t="s">
        <v>159</v>
      </c>
      <c r="B51" s="88">
        <v>0</v>
      </c>
      <c r="C51" s="1"/>
    </row>
    <row r="52" spans="1:3" ht="13.5">
      <c r="A52" s="87" t="s">
        <v>160</v>
      </c>
      <c r="B52" s="88">
        <v>0</v>
      </c>
      <c r="C52" s="1"/>
    </row>
    <row r="53" spans="1:2" ht="13.5">
      <c r="A53" s="87" t="s">
        <v>161</v>
      </c>
      <c r="B53" s="88">
        <v>0</v>
      </c>
    </row>
    <row r="54" spans="1:2" ht="13.5">
      <c r="A54" s="34"/>
      <c r="B54" s="95"/>
    </row>
    <row r="55" spans="1:2" ht="13.5">
      <c r="A55" s="94"/>
      <c r="B55" s="95"/>
    </row>
    <row r="56" spans="1:2" ht="13.5">
      <c r="A56" s="96"/>
      <c r="B56" s="96"/>
    </row>
    <row r="57" spans="1:2" ht="13.5">
      <c r="A57" s="96"/>
      <c r="B57" s="96"/>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row r="73" spans="1:2" ht="13.5">
      <c r="A73" s="96"/>
      <c r="B73" s="96"/>
    </row>
    <row r="74" spans="1:2" ht="13.5">
      <c r="A74" s="96"/>
      <c r="B74" s="96"/>
    </row>
    <row r="75" spans="1:2" ht="13.5">
      <c r="A75" s="96"/>
      <c r="B75" s="96"/>
    </row>
    <row r="76" spans="1:2" ht="13.5">
      <c r="A76" s="96"/>
      <c r="B76" s="96"/>
    </row>
    <row r="77" spans="1:2" ht="13.5">
      <c r="A77" s="96"/>
      <c r="B77" s="96"/>
    </row>
    <row r="78" spans="1:2" ht="13.5">
      <c r="A78" s="96"/>
      <c r="B78" s="96"/>
    </row>
    <row r="79" spans="1:2" ht="13.5">
      <c r="A79" s="96"/>
      <c r="B79" s="96"/>
    </row>
    <row r="80" spans="1:2" ht="13.5">
      <c r="A80" s="96"/>
      <c r="B80" s="96"/>
    </row>
    <row r="81" spans="1:2" ht="13.5">
      <c r="A81" s="96"/>
      <c r="B81" s="96"/>
    </row>
    <row r="82" spans="1:2" ht="13.5">
      <c r="A82" s="96"/>
      <c r="B82" s="96"/>
    </row>
    <row r="83" spans="1:2" ht="13.5">
      <c r="A83" s="96"/>
      <c r="B83" s="96"/>
    </row>
    <row r="84" spans="1:2" ht="13.5">
      <c r="A84" s="96"/>
      <c r="B84" s="96"/>
    </row>
    <row r="85" spans="1:2" ht="13.5">
      <c r="A85" s="96"/>
      <c r="B85" s="96"/>
    </row>
    <row r="86" spans="1:2" ht="13.5">
      <c r="A86" s="96"/>
      <c r="B86" s="96"/>
    </row>
    <row r="87" spans="1:2" ht="13.5">
      <c r="A87" s="96"/>
      <c r="B87" s="96"/>
    </row>
    <row r="88" spans="1:2" ht="13.5">
      <c r="A88" s="96"/>
      <c r="B88" s="96"/>
    </row>
    <row r="89" spans="1:2" ht="13.5">
      <c r="A89" s="96"/>
      <c r="B89" s="96"/>
    </row>
    <row r="90" spans="1:2" ht="13.5">
      <c r="A90" s="96"/>
      <c r="B90" s="96"/>
    </row>
    <row r="91" spans="1:2" ht="13.5">
      <c r="A91" s="96"/>
      <c r="B91" s="96"/>
    </row>
    <row r="92" spans="1:2" ht="13.5">
      <c r="A92" s="96"/>
      <c r="B92" s="96"/>
    </row>
    <row r="93" spans="1:2" ht="13.5">
      <c r="A93" s="96"/>
      <c r="B93" s="96"/>
    </row>
    <row r="94" spans="1:2" ht="13.5">
      <c r="A94" s="96"/>
      <c r="B94" s="96"/>
    </row>
    <row r="95" spans="1:2" ht="13.5">
      <c r="A95" s="96"/>
      <c r="B95" s="96"/>
    </row>
  </sheetData>
  <sheetProtection selectLockedCells="1" selectUnlockedCells="1"/>
  <mergeCells count="11">
    <mergeCell ref="A50:B50"/>
    <mergeCell ref="A21:B21"/>
    <mergeCell ref="A23:B23"/>
    <mergeCell ref="A25:B25"/>
    <mergeCell ref="A27:B27"/>
    <mergeCell ref="A32:B32"/>
    <mergeCell ref="A40:B40"/>
    <mergeCell ref="A1:B1"/>
    <mergeCell ref="A2:B2"/>
    <mergeCell ref="A3:B3"/>
    <mergeCell ref="A35:B35"/>
  </mergeCells>
  <printOptions/>
  <pageMargins left="1.8110236220472442" right="0.5511811023622047" top="0.6692913385826772" bottom="0.5511811023622047" header="0.4330708661417323" footer="0"/>
  <pageSetup horizontalDpi="300" verticalDpi="300" orientation="portrait" paperSize="5" scale="55"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D15" sqref="D15"/>
    </sheetView>
  </sheetViews>
  <sheetFormatPr defaultColWidth="11.421875" defaultRowHeight="12.75"/>
  <cols>
    <col min="1" max="1" width="30.00390625" style="1" customWidth="1"/>
    <col min="2" max="2" width="36.57421875" style="1" customWidth="1"/>
    <col min="3" max="9" width="16.28125" style="1" customWidth="1"/>
    <col min="10" max="10" width="17.140625" style="1" customWidth="1"/>
    <col min="11" max="11" width="16.28125" style="1" customWidth="1"/>
    <col min="12" max="16384" width="11.421875" style="1" customWidth="1"/>
  </cols>
  <sheetData>
    <row r="1" spans="1:256" s="4" customFormat="1" ht="13.5">
      <c r="A1" s="430" t="s">
        <v>0</v>
      </c>
      <c r="B1" s="430"/>
      <c r="C1" s="430"/>
      <c r="D1" s="430"/>
      <c r="E1" s="430"/>
      <c r="F1" s="430"/>
      <c r="G1" s="430"/>
      <c r="H1" s="2"/>
      <c r="I1" s="2"/>
      <c r="J1" s="2"/>
      <c r="K1" s="3"/>
      <c r="IO1" s="1"/>
      <c r="IP1" s="1"/>
      <c r="IQ1" s="1"/>
      <c r="IR1" s="1"/>
      <c r="IS1" s="1"/>
      <c r="IT1" s="1"/>
      <c r="IU1" s="1"/>
      <c r="IV1" s="1"/>
    </row>
    <row r="2" spans="1:256" s="4" customFormat="1" ht="15.75" customHeight="1">
      <c r="A2" s="430" t="s">
        <v>45</v>
      </c>
      <c r="B2" s="430"/>
      <c r="C2" s="430"/>
      <c r="D2" s="430"/>
      <c r="E2" s="430"/>
      <c r="F2" s="430"/>
      <c r="G2" s="430"/>
      <c r="H2" s="2"/>
      <c r="I2" s="2"/>
      <c r="J2" s="2"/>
      <c r="K2" s="3"/>
      <c r="IO2" s="1"/>
      <c r="IP2" s="1"/>
      <c r="IQ2" s="1"/>
      <c r="IR2" s="1"/>
      <c r="IS2" s="1"/>
      <c r="IT2" s="1"/>
      <c r="IU2" s="1"/>
      <c r="IV2" s="1"/>
    </row>
    <row r="3" spans="1:256" s="4" customFormat="1" ht="18" customHeight="1">
      <c r="A3" s="430" t="s">
        <v>46</v>
      </c>
      <c r="B3" s="430"/>
      <c r="C3" s="430"/>
      <c r="D3" s="430"/>
      <c r="E3" s="430"/>
      <c r="F3" s="430"/>
      <c r="G3" s="43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7" t="s">
        <v>3</v>
      </c>
      <c r="B5" s="6"/>
      <c r="C5" s="460" t="str">
        <f>'Ap. 2 Ingresos C. Benef.'!$I$5</f>
        <v>BIENVALP</v>
      </c>
      <c r="D5" s="460"/>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16" customFormat="1" ht="16.5" customHeight="1">
      <c r="A7" s="14"/>
      <c r="B7" s="14"/>
      <c r="C7" s="15"/>
      <c r="D7" s="15"/>
      <c r="E7" s="15"/>
      <c r="F7" s="15"/>
      <c r="G7" s="15"/>
      <c r="H7" s="15"/>
      <c r="I7" s="15"/>
      <c r="IO7" s="20"/>
      <c r="IP7" s="20"/>
      <c r="IQ7" s="20"/>
      <c r="IR7" s="20"/>
      <c r="IS7" s="20"/>
      <c r="IT7" s="20"/>
      <c r="IU7" s="20"/>
      <c r="IV7" s="20"/>
    </row>
    <row r="8" spans="1:10" ht="12.75" customHeight="1">
      <c r="A8" s="406" t="str">
        <f>'Ap. 2 Ingresos C. Benef.'!A14</f>
        <v>Centro Beneficio</v>
      </c>
      <c r="B8" s="406" t="str">
        <f>'Ap. 2 Ingresos C. Benef.'!B14</f>
        <v>Prestación [Unidad]</v>
      </c>
      <c r="C8" s="462" t="str">
        <f>'Ap. 2 Ingresos C. Benef.'!D14</f>
        <v>Matrícula</v>
      </c>
      <c r="D8" s="462"/>
      <c r="E8" s="462"/>
      <c r="F8" s="462"/>
      <c r="G8" s="461">
        <f>'Ap. 2 Ingresos C. Benef.'!H14</f>
        <v>0</v>
      </c>
      <c r="H8" s="461"/>
      <c r="I8" s="461"/>
      <c r="J8" s="461"/>
    </row>
    <row r="9" spans="1:10" ht="54.75">
      <c r="A9" s="463">
        <f>'Ap. 2 Ingresos C. Benef.'!A15</f>
        <v>0</v>
      </c>
      <c r="B9" s="463">
        <f>'Ap. 2 Ingresos C. Benef.'!B15</f>
        <v>0</v>
      </c>
      <c r="C9" s="54" t="str">
        <f>'Ap. 2 Ingresos C. Benef.'!E15</f>
        <v>1) PERSONAL SERVICIO ACTIVO: GM., Otras ramas FF.AA.</v>
      </c>
      <c r="D9" s="54" t="e">
        <f>'Ap. 2 Ingresos C. Benef.'!#REF!</f>
        <v>#REF!</v>
      </c>
      <c r="E9" s="54" t="str">
        <f>'Ap. 2 Ingresos C. Benef.'!F15</f>
        <v>2) PERSONAL EN RETIRO:                                 Oficiales/EE. CC</v>
      </c>
      <c r="F9" s="54" t="str">
        <f>'Ap. 2 Ingresos C. Benef.'!G15</f>
        <v>2) PERSONAL EN RETIRO: GM</v>
      </c>
      <c r="G9" s="54" t="str">
        <f>'Ap. 2 Ingresos C. Benef.'!H15</f>
        <v>3) CASOS ESPECIALES</v>
      </c>
      <c r="H9" s="54" t="str">
        <f>'Ap. 2 Ingresos C. Benef.'!I15</f>
        <v>1) PERSONAL SERVICIO ACTIVO: Oficiales/EE.CC., Otras Ramas FF.AA. </v>
      </c>
      <c r="I9" s="54" t="str">
        <f>'Ap. 2 Ingresos C. Benef.'!J15</f>
        <v>1) PERSONAL SERVICIO ACTIVO: GM., Otras ramas FF.AA.</v>
      </c>
      <c r="J9" s="54" t="str">
        <f>'Ap. 2 Ingresos C. Benef.'!K15</f>
        <v>2) PERSONAL EN RETIRO:                                 Oficiales/EE. CC</v>
      </c>
    </row>
    <row r="10" spans="1:10" ht="31.5" customHeight="1">
      <c r="A10" s="98" t="str">
        <f>'Ap. 2 Ingresos C. Benef.'!$A$16</f>
        <v>JORNADA COMPLETA (con alim.)</v>
      </c>
      <c r="B10" s="113">
        <f>'Ap. 2 Ingresos C. Benef.'!$B$16</f>
        <v>4</v>
      </c>
      <c r="C10" s="37">
        <f>'Ap. 2 Ingresos C. Benef.'!$D$16</f>
        <v>78652</v>
      </c>
      <c r="D10" s="37">
        <f>'Ap. 2 Ingresos C. Benef.'!$E$16</f>
        <v>66250</v>
      </c>
      <c r="E10" s="37">
        <f>'Ap. 2 Ingresos C. Benef.'!$F$16</f>
        <v>108226</v>
      </c>
      <c r="F10" s="37">
        <f>'Ap. 2 Ingresos C. Benef.'!$G$16</f>
        <v>94128</v>
      </c>
      <c r="G10" s="37">
        <f>'Ap. 2 Ingresos C. Benef.'!$H$16</f>
        <v>117342</v>
      </c>
      <c r="H10" s="37">
        <f>'Ap. 2 Ingresos C. Benef.'!$I$16</f>
        <v>78652</v>
      </c>
      <c r="I10" s="37">
        <f>'Ap. 2 Ingresos C. Benef.'!$J$16</f>
        <v>66250</v>
      </c>
      <c r="J10" s="37">
        <f>'Ap. 2 Ingresos C. Benef.'!$K$16</f>
        <v>108226</v>
      </c>
    </row>
    <row r="11" spans="1:10" ht="24" customHeight="1">
      <c r="A11" s="98" t="str">
        <f>'Ap. 2 Ingresos C. Benef.'!$A$19</f>
        <v>MEDIA JORNADA (con alim.)</v>
      </c>
      <c r="B11" s="113">
        <f>'Ap. 2 Ingresos C. Benef.'!$B$19</f>
        <v>1</v>
      </c>
      <c r="C11" s="37">
        <f>'Ap. 2 Ingresos C. Benef.'!$D$19</f>
        <v>41234</v>
      </c>
      <c r="D11" s="37">
        <f>'Ap. 2 Ingresos C. Benef.'!$E$19</f>
        <v>33814</v>
      </c>
      <c r="E11" s="37">
        <f>'Ap. 2 Ingresos C. Benef.'!$F$19</f>
        <v>54908</v>
      </c>
      <c r="F11" s="37">
        <f>'Ap. 2 Ingresos C. Benef.'!$G$19</f>
        <v>48972</v>
      </c>
      <c r="G11" s="37">
        <f>'Ap. 2 Ingresos C. Benef.'!$H$19</f>
        <v>60738</v>
      </c>
      <c r="H11" s="37">
        <f>'Ap. 2 Ingresos C. Benef.'!$I$19</f>
        <v>41234</v>
      </c>
      <c r="I11" s="37">
        <f>'Ap. 2 Ingresos C. Benef.'!$J$19</f>
        <v>33814</v>
      </c>
      <c r="J11" s="37">
        <f>'Ap. 2 Ingresos C. Benef.'!$K$19</f>
        <v>54908</v>
      </c>
    </row>
    <row r="12" spans="1:10" ht="26.25" customHeight="1">
      <c r="A12" s="98" t="e">
        <f>'Ap. 2 Ingresos C. Benef.'!#REF!</f>
        <v>#REF!</v>
      </c>
      <c r="B12" s="113" t="e">
        <f>'Ap. 2 Ingresos C. Benef.'!#REF!</f>
        <v>#REF!</v>
      </c>
      <c r="C12" s="37" t="e">
        <f>'Ap. 2 Ingresos C. Benef.'!#REF!</f>
        <v>#REF!</v>
      </c>
      <c r="D12" s="37" t="e">
        <f>'Ap. 2 Ingresos C. Benef.'!#REF!</f>
        <v>#REF!</v>
      </c>
      <c r="E12" s="37" t="e">
        <f>'Ap. 2 Ingresos C. Benef.'!#REF!</f>
        <v>#REF!</v>
      </c>
      <c r="F12" s="37" t="e">
        <f>'Ap. 2 Ingresos C. Benef.'!#REF!</f>
        <v>#REF!</v>
      </c>
      <c r="G12" s="37" t="e">
        <f>'Ap. 2 Ingresos C. Benef.'!#REF!</f>
        <v>#REF!</v>
      </c>
      <c r="H12" s="37" t="e">
        <f>'Ap. 2 Ingresos C. Benef.'!#REF!</f>
        <v>#REF!</v>
      </c>
      <c r="I12" s="37" t="e">
        <f>'Ap. 2 Ingresos C. Benef.'!#REF!</f>
        <v>#REF!</v>
      </c>
      <c r="J12" s="37" t="e">
        <f>'Ap. 2 Ingresos C. Benef.'!#REF!</f>
        <v>#REF!</v>
      </c>
    </row>
    <row r="13" spans="1:10" ht="29.25" customHeight="1">
      <c r="A13" s="98" t="e">
        <f>'Ap. 2 Ingresos C. Benef.'!#REF!</f>
        <v>#REF!</v>
      </c>
      <c r="B13" s="113" t="e">
        <f>'Ap. 2 Ingresos C. Benef.'!#REF!</f>
        <v>#REF!</v>
      </c>
      <c r="C13" s="37" t="e">
        <f>'Ap. 2 Ingresos C. Benef.'!#REF!</f>
        <v>#REF!</v>
      </c>
      <c r="D13" s="37" t="e">
        <f>'Ap. 2 Ingresos C. Benef.'!#REF!</f>
        <v>#REF!</v>
      </c>
      <c r="E13" s="37" t="e">
        <f>'Ap. 2 Ingresos C. Benef.'!#REF!</f>
        <v>#REF!</v>
      </c>
      <c r="F13" s="37" t="e">
        <f>'Ap. 2 Ingresos C. Benef.'!#REF!</f>
        <v>#REF!</v>
      </c>
      <c r="G13" s="37" t="e">
        <f>'Ap. 2 Ingresos C. Benef.'!#REF!</f>
        <v>#REF!</v>
      </c>
      <c r="H13" s="37" t="e">
        <f>'Ap. 2 Ingresos C. Benef.'!#REF!</f>
        <v>#REF!</v>
      </c>
      <c r="I13" s="37" t="e">
        <f>'Ap. 2 Ingresos C. Benef.'!#REF!</f>
        <v>#REF!</v>
      </c>
      <c r="J13" s="37" t="e">
        <f>'Ap. 2 Ingresos C. Benef.'!#REF!</f>
        <v>#REF!</v>
      </c>
    </row>
    <row r="14" spans="1:10" ht="24.75" customHeight="1">
      <c r="A14" s="462" t="e">
        <f>'Ap. 2 Ingresos C. Benef.'!#REF!</f>
        <v>#REF!</v>
      </c>
      <c r="B14" s="113" t="e">
        <f>'Ap. 2 Ingresos C. Benef.'!#REF!</f>
        <v>#REF!</v>
      </c>
      <c r="C14" s="37" t="e">
        <f>'Ap. 2 Ingresos C. Benef.'!#REF!</f>
        <v>#REF!</v>
      </c>
      <c r="D14" s="37" t="e">
        <f>'Ap. 2 Ingresos C. Benef.'!#REF!</f>
        <v>#REF!</v>
      </c>
      <c r="E14" s="37" t="e">
        <f>'Ap. 2 Ingresos C. Benef.'!#REF!</f>
        <v>#REF!</v>
      </c>
      <c r="F14" s="37" t="e">
        <f>'Ap. 2 Ingresos C. Benef.'!#REF!</f>
        <v>#REF!</v>
      </c>
      <c r="G14" s="37" t="e">
        <f>'Ap. 2 Ingresos C. Benef.'!#REF!</f>
        <v>#REF!</v>
      </c>
      <c r="H14" s="37" t="e">
        <f>'Ap. 2 Ingresos C. Benef.'!#REF!</f>
        <v>#REF!</v>
      </c>
      <c r="I14" s="37" t="e">
        <f>'Ap. 2 Ingresos C. Benef.'!#REF!</f>
        <v>#REF!</v>
      </c>
      <c r="J14" s="37" t="e">
        <f>'Ap. 2 Ingresos C. Benef.'!#REF!</f>
        <v>#REF!</v>
      </c>
    </row>
    <row r="15" spans="1:10" ht="20.25" customHeight="1">
      <c r="A15" s="462" t="e">
        <f>'Ap. 2 Ingresos C. Benef.'!#REF!</f>
        <v>#REF!</v>
      </c>
      <c r="B15" s="113" t="e">
        <f>'Ap. 2 Ingresos C. Benef.'!#REF!</f>
        <v>#REF!</v>
      </c>
      <c r="C15" s="37" t="e">
        <f>'Ap. 2 Ingresos C. Benef.'!#REF!</f>
        <v>#REF!</v>
      </c>
      <c r="D15" s="37" t="e">
        <f>'Ap. 2 Ingresos C. Benef.'!#REF!</f>
        <v>#REF!</v>
      </c>
      <c r="E15" s="37" t="e">
        <f>'Ap. 2 Ingresos C. Benef.'!#REF!</f>
        <v>#REF!</v>
      </c>
      <c r="F15" s="37" t="e">
        <f>'Ap. 2 Ingresos C. Benef.'!#REF!</f>
        <v>#REF!</v>
      </c>
      <c r="G15" s="37" t="e">
        <f>'Ap. 2 Ingresos C. Benef.'!#REF!</f>
        <v>#REF!</v>
      </c>
      <c r="H15" s="37" t="e">
        <f>'Ap. 2 Ingresos C. Benef.'!#REF!</f>
        <v>#REF!</v>
      </c>
      <c r="I15" s="37" t="e">
        <f>'Ap. 2 Ingresos C. Benef.'!#REF!</f>
        <v>#REF!</v>
      </c>
      <c r="J15" s="37" t="e">
        <f>'Ap. 2 Ingresos C. Benef.'!#REF!</f>
        <v>#REF!</v>
      </c>
    </row>
    <row r="16" spans="1:10" ht="22.5" customHeight="1">
      <c r="A16" s="462" t="e">
        <f>'Ap. 2 Ingresos C. Benef.'!#REF!</f>
        <v>#REF!</v>
      </c>
      <c r="B16" s="113" t="e">
        <f>'Ap. 2 Ingresos C. Benef.'!#REF!</f>
        <v>#REF!</v>
      </c>
      <c r="C16" s="37" t="e">
        <f>'Ap. 2 Ingresos C. Benef.'!#REF!</f>
        <v>#REF!</v>
      </c>
      <c r="D16" s="37" t="e">
        <f>'Ap. 2 Ingresos C. Benef.'!#REF!</f>
        <v>#REF!</v>
      </c>
      <c r="E16" s="37" t="e">
        <f>'Ap. 2 Ingresos C. Benef.'!#REF!</f>
        <v>#REF!</v>
      </c>
      <c r="F16" s="37" t="e">
        <f>'Ap. 2 Ingresos C. Benef.'!#REF!</f>
        <v>#REF!</v>
      </c>
      <c r="G16" s="37" t="e">
        <f>'Ap. 2 Ingresos C. Benef.'!#REF!</f>
        <v>#REF!</v>
      </c>
      <c r="H16" s="37" t="e">
        <f>'Ap. 2 Ingresos C. Benef.'!#REF!</f>
        <v>#REF!</v>
      </c>
      <c r="I16" s="37" t="e">
        <f>'Ap. 2 Ingresos C. Benef.'!#REF!</f>
        <v>#REF!</v>
      </c>
      <c r="J16" s="37" t="e">
        <f>'Ap. 2 Ingresos C. Benef.'!#REF!</f>
        <v>#REF!</v>
      </c>
    </row>
    <row r="17" spans="1:10" ht="20.25" customHeight="1">
      <c r="A17" s="462" t="e">
        <f>'Ap. 2 Ingresos C. Benef.'!#REF!</f>
        <v>#REF!</v>
      </c>
      <c r="B17" s="113" t="e">
        <f>'Ap. 2 Ingresos C. Benef.'!#REF!</f>
        <v>#REF!</v>
      </c>
      <c r="C17" s="37" t="e">
        <f>'Ap. 2 Ingresos C. Benef.'!#REF!</f>
        <v>#REF!</v>
      </c>
      <c r="D17" s="37" t="e">
        <f>'Ap. 2 Ingresos C. Benef.'!#REF!</f>
        <v>#REF!</v>
      </c>
      <c r="E17" s="37" t="e">
        <f>'Ap. 2 Ingresos C. Benef.'!#REF!</f>
        <v>#REF!</v>
      </c>
      <c r="F17" s="37" t="e">
        <f>'Ap. 2 Ingresos C. Benef.'!#REF!</f>
        <v>#REF!</v>
      </c>
      <c r="G17" s="37" t="e">
        <f>'Ap. 2 Ingresos C. Benef.'!#REF!</f>
        <v>#REF!</v>
      </c>
      <c r="H17" s="37" t="e">
        <f>'Ap. 2 Ingresos C. Benef.'!#REF!</f>
        <v>#REF!</v>
      </c>
      <c r="I17" s="37" t="e">
        <f>'Ap. 2 Ingresos C. Benef.'!#REF!</f>
        <v>#REF!</v>
      </c>
      <c r="J17" s="37" t="e">
        <f>'Ap. 2 Ingresos C. Benef.'!#REF!</f>
        <v>#REF!</v>
      </c>
    </row>
    <row r="18" spans="1:10" ht="21" customHeight="1">
      <c r="A18" s="462" t="e">
        <f>'Ap. 2 Ingresos C. Benef.'!#REF!</f>
        <v>#REF!</v>
      </c>
      <c r="B18" s="113" t="e">
        <f>'Ap. 2 Ingresos C. Benef.'!#REF!</f>
        <v>#REF!</v>
      </c>
      <c r="C18" s="37" t="e">
        <f>'Ap. 2 Ingresos C. Benef.'!#REF!</f>
        <v>#REF!</v>
      </c>
      <c r="D18" s="37" t="e">
        <f>'Ap. 2 Ingresos C. Benef.'!#REF!</f>
        <v>#REF!</v>
      </c>
      <c r="E18" s="37" t="e">
        <f>'Ap. 2 Ingresos C. Benef.'!#REF!</f>
        <v>#REF!</v>
      </c>
      <c r="F18" s="37" t="e">
        <f>'Ap. 2 Ingresos C. Benef.'!#REF!</f>
        <v>#REF!</v>
      </c>
      <c r="G18" s="37" t="e">
        <f>'Ap. 2 Ingresos C. Benef.'!#REF!</f>
        <v>#REF!</v>
      </c>
      <c r="H18" s="37" t="e">
        <f>'Ap. 2 Ingresos C. Benef.'!#REF!</f>
        <v>#REF!</v>
      </c>
      <c r="I18" s="37" t="e">
        <f>'Ap. 2 Ingresos C. Benef.'!#REF!</f>
        <v>#REF!</v>
      </c>
      <c r="J18" s="37" t="e">
        <f>'Ap. 2 Ingresos C. Benef.'!#REF!</f>
        <v>#REF!</v>
      </c>
    </row>
    <row r="19" spans="1:10" ht="21.75" customHeight="1">
      <c r="A19" s="462" t="e">
        <f>'Ap. 2 Ingresos C. Benef.'!#REF!</f>
        <v>#REF!</v>
      </c>
      <c r="B19" s="113" t="e">
        <f>'Ap. 2 Ingresos C. Benef.'!#REF!</f>
        <v>#REF!</v>
      </c>
      <c r="C19" s="37" t="e">
        <f>'Ap. 2 Ingresos C. Benef.'!#REF!</f>
        <v>#REF!</v>
      </c>
      <c r="D19" s="37" t="e">
        <f>'Ap. 2 Ingresos C. Benef.'!#REF!</f>
        <v>#REF!</v>
      </c>
      <c r="E19" s="37" t="e">
        <f>'Ap. 2 Ingresos C. Benef.'!#REF!</f>
        <v>#REF!</v>
      </c>
      <c r="F19" s="37" t="e">
        <f>'Ap. 2 Ingresos C. Benef.'!#REF!</f>
        <v>#REF!</v>
      </c>
      <c r="G19" s="37" t="e">
        <f>'Ap. 2 Ingresos C. Benef.'!#REF!</f>
        <v>#REF!</v>
      </c>
      <c r="H19" s="37" t="e">
        <f>'Ap. 2 Ingresos C. Benef.'!#REF!</f>
        <v>#REF!</v>
      </c>
      <c r="I19" s="37" t="e">
        <f>'Ap. 2 Ingresos C. Benef.'!#REF!</f>
        <v>#REF!</v>
      </c>
      <c r="J19" s="37" t="e">
        <f>'Ap. 2 Ingresos C. Benef.'!#REF!</f>
        <v>#REF!</v>
      </c>
    </row>
  </sheetData>
  <sheetProtection selectLockedCells="1" selectUnlockedCells="1"/>
  <mergeCells count="11">
    <mergeCell ref="C8:F8"/>
    <mergeCell ref="A1:G1"/>
    <mergeCell ref="A2:G2"/>
    <mergeCell ref="A3:G3"/>
    <mergeCell ref="C5:D5"/>
    <mergeCell ref="G8:J8"/>
    <mergeCell ref="A18:A19"/>
    <mergeCell ref="A8:A9"/>
    <mergeCell ref="B8:B9"/>
    <mergeCell ref="A14:A15"/>
    <mergeCell ref="A16:A17"/>
  </mergeCells>
  <printOptions/>
  <pageMargins left="0" right="0.7480314960629921" top="0.984251968503937" bottom="0.984251968503937" header="0.4330708661417323" footer="0.4724409448818898"/>
  <pageSetup horizontalDpi="600" verticalDpi="600" orientation="landscape" scale="60" r:id="rId1"/>
  <headerFooter alignWithMargins="0">
    <oddHeader>&amp;LSEPT - 2004&amp;CDIRECTIVA D.B.S.A.
ORDINARIA&amp;R01-BS/0305/04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7"/>
  <sheetViews>
    <sheetView showGridLines="0" zoomScale="125" zoomScaleNormal="125" zoomScalePageLayoutView="0" workbookViewId="0" topLeftCell="A13">
      <selection activeCell="A1" sqref="A1:E1"/>
    </sheetView>
  </sheetViews>
  <sheetFormatPr defaultColWidth="11.42187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11.421875" style="1" customWidth="1"/>
  </cols>
  <sheetData>
    <row r="1" spans="1:256" s="4" customFormat="1" ht="13.5">
      <c r="A1" s="430" t="s">
        <v>0</v>
      </c>
      <c r="B1" s="430"/>
      <c r="C1" s="430"/>
      <c r="D1" s="430"/>
      <c r="E1" s="430"/>
      <c r="F1" s="3"/>
      <c r="G1" s="3"/>
      <c r="IK1" s="1"/>
      <c r="IL1" s="1"/>
      <c r="IM1" s="1"/>
      <c r="IN1" s="1"/>
      <c r="IO1" s="1"/>
      <c r="IP1" s="1"/>
      <c r="IQ1" s="1"/>
      <c r="IR1" s="1"/>
      <c r="IS1" s="1"/>
      <c r="IT1" s="1"/>
      <c r="IU1" s="1"/>
      <c r="IV1" s="1"/>
    </row>
    <row r="2" spans="1:256" s="4" customFormat="1" ht="15.75" customHeight="1">
      <c r="A2" s="430" t="s">
        <v>47</v>
      </c>
      <c r="B2" s="430"/>
      <c r="C2" s="430"/>
      <c r="D2" s="430"/>
      <c r="E2" s="430"/>
      <c r="F2" s="3"/>
      <c r="G2" s="3"/>
      <c r="IK2" s="1"/>
      <c r="IL2" s="1"/>
      <c r="IM2" s="1"/>
      <c r="IN2" s="1"/>
      <c r="IO2" s="1"/>
      <c r="IP2" s="1"/>
      <c r="IQ2" s="1"/>
      <c r="IR2" s="1"/>
      <c r="IS2" s="1"/>
      <c r="IT2" s="1"/>
      <c r="IU2" s="1"/>
      <c r="IV2" s="1"/>
    </row>
    <row r="3" spans="1:256" s="4" customFormat="1" ht="18" customHeight="1">
      <c r="A3" s="430" t="s">
        <v>48</v>
      </c>
      <c r="B3" s="430"/>
      <c r="C3" s="430"/>
      <c r="D3" s="430"/>
      <c r="E3" s="43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466" t="s">
        <v>3</v>
      </c>
      <c r="B5" s="466"/>
      <c r="C5" s="38" t="str">
        <f>'Ap. 2 Ingresos C. Benef.'!$I$5</f>
        <v>BIENVALP</v>
      </c>
      <c r="D5" s="39"/>
      <c r="E5" s="1"/>
      <c r="F5" s="39"/>
      <c r="G5" s="1"/>
      <c r="IK5" s="1"/>
      <c r="IL5" s="1"/>
      <c r="IM5" s="1"/>
      <c r="IN5" s="1"/>
      <c r="IO5" s="1"/>
      <c r="IP5" s="1"/>
      <c r="IQ5" s="1"/>
      <c r="IR5" s="1"/>
      <c r="IS5" s="1"/>
      <c r="IT5" s="1"/>
      <c r="IU5" s="1"/>
      <c r="IV5" s="1"/>
    </row>
    <row r="6" spans="1:256" s="4" customFormat="1" ht="12" customHeight="1">
      <c r="A6" s="5"/>
      <c r="B6" s="7"/>
      <c r="C6" s="39"/>
      <c r="D6" s="39"/>
      <c r="E6" s="1"/>
      <c r="F6" s="39"/>
      <c r="G6" s="1"/>
      <c r="IK6" s="1"/>
      <c r="IL6" s="1"/>
      <c r="IM6" s="1"/>
      <c r="IN6" s="1"/>
      <c r="IO6" s="1"/>
      <c r="IP6" s="1"/>
      <c r="IQ6" s="1"/>
      <c r="IR6" s="1"/>
      <c r="IS6" s="1"/>
      <c r="IT6" s="1"/>
      <c r="IU6" s="1"/>
      <c r="IV6" s="1"/>
    </row>
    <row r="7" spans="1:256" s="4" customFormat="1" ht="12" customHeight="1">
      <c r="A7" s="5"/>
      <c r="B7" s="7"/>
      <c r="C7" s="39"/>
      <c r="D7" s="39"/>
      <c r="E7" s="1"/>
      <c r="F7" s="39"/>
      <c r="G7" s="1"/>
      <c r="IK7" s="1"/>
      <c r="IL7" s="1"/>
      <c r="IM7" s="1"/>
      <c r="IN7" s="1"/>
      <c r="IO7" s="1"/>
      <c r="IP7" s="1"/>
      <c r="IQ7" s="1"/>
      <c r="IR7" s="1"/>
      <c r="IS7" s="1"/>
      <c r="IT7" s="1"/>
      <c r="IU7" s="1"/>
      <c r="IV7" s="1"/>
    </row>
    <row r="8" spans="1:256" s="4" customFormat="1" ht="12" customHeight="1">
      <c r="A8" s="5"/>
      <c r="B8" s="7"/>
      <c r="C8" s="39"/>
      <c r="D8" s="39"/>
      <c r="E8" s="1"/>
      <c r="F8" s="39"/>
      <c r="G8" s="1"/>
      <c r="IK8" s="1"/>
      <c r="IL8" s="1"/>
      <c r="IM8" s="1"/>
      <c r="IN8" s="1"/>
      <c r="IO8" s="1"/>
      <c r="IP8" s="1"/>
      <c r="IQ8" s="1"/>
      <c r="IR8" s="1"/>
      <c r="IS8" s="1"/>
      <c r="IT8" s="1"/>
      <c r="IU8" s="1"/>
      <c r="IV8" s="1"/>
    </row>
    <row r="9" spans="1:256" s="4" customFormat="1" ht="12" customHeight="1">
      <c r="A9" s="5"/>
      <c r="B9" s="7"/>
      <c r="C9" s="39"/>
      <c r="D9" s="39"/>
      <c r="E9" s="1"/>
      <c r="F9" s="39"/>
      <c r="G9" s="1"/>
      <c r="IK9" s="1"/>
      <c r="IL9" s="1"/>
      <c r="IM9" s="1"/>
      <c r="IN9" s="1"/>
      <c r="IO9" s="1"/>
      <c r="IP9" s="1"/>
      <c r="IQ9" s="1"/>
      <c r="IR9" s="1"/>
      <c r="IS9" s="1"/>
      <c r="IT9" s="1"/>
      <c r="IU9" s="1"/>
      <c r="IV9" s="1"/>
    </row>
    <row r="10" spans="1:256" s="4" customFormat="1" ht="12" customHeight="1">
      <c r="A10" s="5"/>
      <c r="B10" s="7"/>
      <c r="C10" s="39"/>
      <c r="D10" s="39"/>
      <c r="E10" s="1"/>
      <c r="F10" s="39"/>
      <c r="G10" s="1"/>
      <c r="IK10" s="1"/>
      <c r="IL10" s="1"/>
      <c r="IM10" s="1"/>
      <c r="IN10" s="1"/>
      <c r="IO10" s="1"/>
      <c r="IP10" s="1"/>
      <c r="IQ10" s="1"/>
      <c r="IR10" s="1"/>
      <c r="IS10" s="1"/>
      <c r="IT10" s="1"/>
      <c r="IU10" s="1"/>
      <c r="IV10" s="1"/>
    </row>
    <row r="11" spans="1:256" s="4" customFormat="1" ht="12" customHeight="1">
      <c r="A11" s="5"/>
      <c r="B11" s="7"/>
      <c r="C11" s="39"/>
      <c r="D11" s="39"/>
      <c r="E11" s="1"/>
      <c r="F11" s="39"/>
      <c r="G11" s="1"/>
      <c r="IK11" s="1"/>
      <c r="IL11" s="1"/>
      <c r="IM11" s="1"/>
      <c r="IN11" s="1"/>
      <c r="IO11" s="1"/>
      <c r="IP11" s="1"/>
      <c r="IQ11" s="1"/>
      <c r="IR11" s="1"/>
      <c r="IS11" s="1"/>
      <c r="IT11" s="1"/>
      <c r="IU11" s="1"/>
      <c r="IV11" s="1"/>
    </row>
    <row r="12" spans="1:256" s="4" customFormat="1" ht="12" customHeight="1">
      <c r="A12" s="5"/>
      <c r="B12" s="7"/>
      <c r="C12" s="39"/>
      <c r="D12" s="39"/>
      <c r="E12" s="1"/>
      <c r="F12" s="39"/>
      <c r="G12" s="1"/>
      <c r="IK12" s="1"/>
      <c r="IL12" s="1"/>
      <c r="IM12" s="1"/>
      <c r="IN12" s="1"/>
      <c r="IO12" s="1"/>
      <c r="IP12" s="1"/>
      <c r="IQ12" s="1"/>
      <c r="IR12" s="1"/>
      <c r="IS12" s="1"/>
      <c r="IT12" s="1"/>
      <c r="IU12" s="1"/>
      <c r="IV12" s="1"/>
    </row>
    <row r="13" spans="1:256" s="4" customFormat="1" ht="12" customHeight="1">
      <c r="A13" s="40"/>
      <c r="B13" s="40"/>
      <c r="C13" s="40"/>
      <c r="D13" s="40"/>
      <c r="E13" s="40"/>
      <c r="F13" s="22"/>
      <c r="G13" s="22"/>
      <c r="H13" s="22"/>
      <c r="I13" s="22"/>
      <c r="J13" s="22"/>
      <c r="IK13" s="1"/>
      <c r="IL13" s="1"/>
      <c r="IM13" s="1"/>
      <c r="IN13" s="1"/>
      <c r="IO13" s="1"/>
      <c r="IP13" s="1"/>
      <c r="IQ13" s="1"/>
      <c r="IR13" s="1"/>
      <c r="IS13" s="1"/>
      <c r="IT13" s="1"/>
      <c r="IU13" s="1"/>
      <c r="IV13" s="1"/>
    </row>
    <row r="14" spans="1:256" s="16" customFormat="1" ht="12" customHeight="1">
      <c r="A14" s="41"/>
      <c r="B14" s="41"/>
      <c r="C14" s="42" t="s">
        <v>49</v>
      </c>
      <c r="D14" s="43"/>
      <c r="E14" s="44">
        <v>12</v>
      </c>
      <c r="F14" s="14"/>
      <c r="G14" s="15"/>
      <c r="IK14" s="20"/>
      <c r="IL14" s="20"/>
      <c r="IM14" s="20"/>
      <c r="IN14" s="20"/>
      <c r="IO14" s="20"/>
      <c r="IP14" s="20"/>
      <c r="IQ14" s="20"/>
      <c r="IR14" s="20"/>
      <c r="IS14" s="20"/>
      <c r="IT14" s="20"/>
      <c r="IU14" s="20"/>
      <c r="IV14" s="20"/>
    </row>
    <row r="15" spans="1:256" s="16" customFormat="1" ht="13.5" customHeight="1">
      <c r="A15" s="41"/>
      <c r="B15" s="41"/>
      <c r="C15" s="42" t="s">
        <v>50</v>
      </c>
      <c r="D15" s="43"/>
      <c r="E15" s="44">
        <v>10</v>
      </c>
      <c r="F15" s="14"/>
      <c r="G15" s="15"/>
      <c r="IK15" s="20"/>
      <c r="IL15" s="20"/>
      <c r="IM15" s="20"/>
      <c r="IN15" s="20"/>
      <c r="IO15" s="20"/>
      <c r="IP15" s="20"/>
      <c r="IQ15" s="20"/>
      <c r="IR15" s="20"/>
      <c r="IS15" s="20"/>
      <c r="IT15" s="20"/>
      <c r="IU15" s="20"/>
      <c r="IV15" s="20"/>
    </row>
    <row r="16" spans="1:256" s="16" customFormat="1" ht="13.5" customHeight="1">
      <c r="A16" s="41"/>
      <c r="B16" s="41"/>
      <c r="C16" s="45"/>
      <c r="D16" s="45"/>
      <c r="E16" s="46"/>
      <c r="F16" s="14"/>
      <c r="G16" s="15"/>
      <c r="IK16" s="20"/>
      <c r="IL16" s="20"/>
      <c r="IM16" s="20"/>
      <c r="IN16" s="20"/>
      <c r="IO16" s="20"/>
      <c r="IP16" s="20"/>
      <c r="IQ16" s="20"/>
      <c r="IR16" s="20"/>
      <c r="IS16" s="20"/>
      <c r="IT16" s="20"/>
      <c r="IU16" s="20"/>
      <c r="IV16" s="20"/>
    </row>
    <row r="17" spans="1:5" ht="13.5">
      <c r="A17" s="41"/>
      <c r="B17" s="41"/>
      <c r="C17" s="41"/>
      <c r="D17" s="41"/>
      <c r="E17" s="41"/>
    </row>
    <row r="18" spans="1:5" ht="13.5">
      <c r="A18" s="464" t="str">
        <f>'Ap. 5 Tarifado '!A8</f>
        <v>Centro Beneficio</v>
      </c>
      <c r="B18" s="464" t="str">
        <f>'Ap. 5 Tarifado '!B8</f>
        <v>Prestación [Unidad]</v>
      </c>
      <c r="C18" s="47" t="str">
        <f>'Ap. 5 Tarifado '!C8</f>
        <v>Matrícula</v>
      </c>
      <c r="D18" s="48">
        <f>'Ap. 5 Tarifado '!G8</f>
        <v>0</v>
      </c>
      <c r="E18" s="114" t="s">
        <v>51</v>
      </c>
    </row>
    <row r="19" spans="1:5" ht="54.75">
      <c r="A19" s="465">
        <f>'Ap. 5 Tarifado '!A9</f>
        <v>0</v>
      </c>
      <c r="B19" s="465">
        <f>'Ap. 5 Tarifado '!B9</f>
        <v>0</v>
      </c>
      <c r="C19" s="50" t="str">
        <f>'Ap. 5 Tarifado '!C9</f>
        <v>1) PERSONAL SERVICIO ACTIVO: GM., Otras ramas FF.AA.</v>
      </c>
      <c r="D19" s="50" t="str">
        <f>'Ap. 5 Tarifado '!G9</f>
        <v>3) CASOS ESPECIALES</v>
      </c>
      <c r="E19" s="50" t="s">
        <v>52</v>
      </c>
    </row>
    <row r="20" spans="1:5" ht="30.75" customHeight="1">
      <c r="A20" s="116" t="str">
        <f>'Ap. 5 Tarifado '!A10</f>
        <v>JORNADA COMPLETA (con alim.)</v>
      </c>
      <c r="B20" s="117">
        <f>'Ap. 5 Tarifado '!B10</f>
        <v>4</v>
      </c>
      <c r="C20" s="118">
        <f>'Ap. 5 Tarifado '!C10</f>
        <v>78652</v>
      </c>
      <c r="D20" s="118">
        <f>'Ap. 5 Tarifado '!G10</f>
        <v>117342</v>
      </c>
      <c r="E20" s="119">
        <f>C20+D20*$E$15</f>
        <v>1252072</v>
      </c>
    </row>
    <row r="21" spans="1:5" ht="30.75" customHeight="1">
      <c r="A21" s="127" t="s">
        <v>163</v>
      </c>
      <c r="B21" s="121"/>
      <c r="C21" s="122"/>
      <c r="D21" s="123"/>
      <c r="E21" s="123"/>
    </row>
    <row r="22" spans="1:5" ht="30.75" customHeight="1">
      <c r="A22" s="120" t="str">
        <f>'Ap. 5 Tarifado '!A11</f>
        <v>MEDIA JORNADA (con alim.)</v>
      </c>
      <c r="B22" s="115">
        <f>'Ap. 5 Tarifado '!B11</f>
        <v>1</v>
      </c>
      <c r="C22" s="124">
        <f>'Ap. 5 Tarifado '!C11</f>
        <v>41234</v>
      </c>
      <c r="D22" s="124">
        <f>'Ap. 5 Tarifado '!G11</f>
        <v>60738</v>
      </c>
      <c r="E22" s="124">
        <f>C22+D22*$E$15</f>
        <v>648614</v>
      </c>
    </row>
    <row r="23" spans="1:5" ht="30.75" customHeight="1">
      <c r="A23" s="127" t="s">
        <v>163</v>
      </c>
      <c r="B23" s="125"/>
      <c r="C23" s="126"/>
      <c r="D23" s="126"/>
      <c r="E23" s="126"/>
    </row>
    <row r="24" spans="1:5" ht="30" customHeight="1">
      <c r="A24" s="120" t="e">
        <f>'Ap. 5 Tarifado '!A16</f>
        <v>#REF!</v>
      </c>
      <c r="B24" s="128" t="e">
        <f>'Ap. 5 Tarifado '!B16</f>
        <v>#REF!</v>
      </c>
      <c r="C24" s="124" t="e">
        <f>'Ap. 5 Tarifado '!C16</f>
        <v>#REF!</v>
      </c>
      <c r="D24" s="124" t="e">
        <f>'Ap. 5 Tarifado '!G16</f>
        <v>#REF!</v>
      </c>
      <c r="E24" s="124" t="e">
        <f>C24+D24*$E$14</f>
        <v>#REF!</v>
      </c>
    </row>
    <row r="25" spans="1:5" ht="30" customHeight="1">
      <c r="A25" s="127" t="s">
        <v>164</v>
      </c>
      <c r="B25" s="125"/>
      <c r="C25" s="126"/>
      <c r="D25" s="126"/>
      <c r="E25" s="126"/>
    </row>
    <row r="26" spans="1:5" ht="29.25" customHeight="1">
      <c r="A26" s="120" t="e">
        <f>'Ap. 5 Tarifado '!A18</f>
        <v>#REF!</v>
      </c>
      <c r="B26" s="128" t="e">
        <f>'Ap. 5 Tarifado '!B18</f>
        <v>#REF!</v>
      </c>
      <c r="C26" s="124" t="e">
        <f>'Ap. 5 Tarifado '!C18</f>
        <v>#REF!</v>
      </c>
      <c r="D26" s="124" t="e">
        <f>'Ap. 5 Tarifado '!G18</f>
        <v>#REF!</v>
      </c>
      <c r="E26" s="124" t="e">
        <f>C26+D26*$E$14</f>
        <v>#REF!</v>
      </c>
    </row>
    <row r="27" spans="1:5" ht="27.75" customHeight="1">
      <c r="A27" s="130" t="s">
        <v>165</v>
      </c>
      <c r="B27" s="131" t="s">
        <v>22</v>
      </c>
      <c r="C27" s="129"/>
      <c r="D27" s="49"/>
      <c r="E27" s="132"/>
    </row>
  </sheetData>
  <sheetProtection selectLockedCells="1" selectUnlockedCells="1"/>
  <mergeCells count="6">
    <mergeCell ref="A18:A19"/>
    <mergeCell ref="B18:B19"/>
    <mergeCell ref="A1:E1"/>
    <mergeCell ref="A2:E2"/>
    <mergeCell ref="A3:E3"/>
    <mergeCell ref="A5:B5"/>
  </mergeCells>
  <printOptions/>
  <pageMargins left="0.7479166666666667" right="0.7479166666666667" top="0.8097222222222222" bottom="0.8902777777777777" header="0.4" footer="0.4"/>
  <pageSetup fitToHeight="1" fitToWidth="1" horizontalDpi="300" verticalDpi="300" orientation="landscape" r:id="rId2"/>
  <headerFooter alignWithMargins="0">
    <oddHeader>&amp;LSEPT - 2004&amp;CDIRECTIVA D.B.S.A.
ORDINARIA&amp;R01-BS/0305/04</oddHeader>
    <oddFooter>&amp;LDEPARTAMENTO
RRHH Y GESTION&amp;C01-BS&amp;RPAG &amp;P</oddFoot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O67"/>
  <sheetViews>
    <sheetView zoomScalePageLayoutView="0" workbookViewId="0" topLeftCell="A1">
      <selection activeCell="M23" sqref="M23"/>
    </sheetView>
  </sheetViews>
  <sheetFormatPr defaultColWidth="11.421875" defaultRowHeight="12.75"/>
  <cols>
    <col min="1" max="1" width="5.28125" style="0" customWidth="1"/>
    <col min="2" max="2" width="8.140625" style="0" customWidth="1"/>
    <col min="3" max="3" width="27.28125" style="0" customWidth="1"/>
    <col min="4" max="4" width="6.421875" style="0" customWidth="1"/>
    <col min="5" max="5" width="11.00390625" style="0" customWidth="1"/>
    <col min="6" max="6" width="7.7109375" style="0" customWidth="1"/>
    <col min="7" max="7" width="10.28125" style="0" customWidth="1"/>
    <col min="8" max="8" width="14.28125" style="0" customWidth="1"/>
    <col min="9" max="9" width="10.00390625" style="0" customWidth="1"/>
    <col min="10" max="10" width="11.140625" style="0" customWidth="1"/>
    <col min="11" max="11" width="10.8515625" style="0" customWidth="1"/>
  </cols>
  <sheetData>
    <row r="1" spans="1:10" ht="13.5">
      <c r="A1" s="228"/>
      <c r="B1" s="228"/>
      <c r="C1" s="228"/>
      <c r="D1" s="228"/>
      <c r="E1" s="229"/>
      <c r="F1" s="229"/>
      <c r="G1" s="230"/>
      <c r="H1" s="228"/>
      <c r="I1" s="228"/>
      <c r="J1" s="228"/>
    </row>
    <row r="2" spans="1:8" ht="12.75">
      <c r="A2" s="228"/>
      <c r="E2" s="484" t="s">
        <v>204</v>
      </c>
      <c r="F2" s="240"/>
      <c r="G2" s="239" t="s">
        <v>202</v>
      </c>
      <c r="H2" s="239" t="s">
        <v>203</v>
      </c>
    </row>
    <row r="3" spans="1:8" ht="12.75">
      <c r="A3" s="228"/>
      <c r="E3" s="484"/>
      <c r="F3" s="240"/>
      <c r="G3" s="238">
        <v>1.053</v>
      </c>
      <c r="H3" s="238">
        <v>1.103</v>
      </c>
    </row>
    <row r="4" ht="13.5" thickBot="1">
      <c r="A4" s="228"/>
    </row>
    <row r="5" spans="1:11" ht="12.75" customHeight="1">
      <c r="A5" s="228"/>
      <c r="C5" s="485" t="s">
        <v>206</v>
      </c>
      <c r="D5" s="481" t="s">
        <v>209</v>
      </c>
      <c r="E5" s="482"/>
      <c r="F5" s="482"/>
      <c r="G5" s="483"/>
      <c r="H5" s="475" t="s">
        <v>210</v>
      </c>
      <c r="I5" s="476"/>
      <c r="J5" s="476"/>
      <c r="K5" s="477"/>
    </row>
    <row r="6" spans="1:11" ht="12.75" customHeight="1" thickBot="1">
      <c r="A6" s="228"/>
      <c r="C6" s="486"/>
      <c r="D6" s="303" t="s">
        <v>221</v>
      </c>
      <c r="E6" s="243" t="s">
        <v>202</v>
      </c>
      <c r="F6" s="303" t="s">
        <v>221</v>
      </c>
      <c r="G6" s="245" t="s">
        <v>203</v>
      </c>
      <c r="H6" s="243" t="s">
        <v>202</v>
      </c>
      <c r="I6" s="245" t="s">
        <v>212</v>
      </c>
      <c r="J6" s="246" t="s">
        <v>213</v>
      </c>
      <c r="K6" s="244" t="s">
        <v>212</v>
      </c>
    </row>
    <row r="7" spans="1:11" ht="12.75" customHeight="1">
      <c r="A7" s="228"/>
      <c r="C7" s="478" t="s">
        <v>184</v>
      </c>
      <c r="D7" s="316">
        <v>1</v>
      </c>
      <c r="E7" s="249">
        <v>66150</v>
      </c>
      <c r="F7" s="319">
        <v>1</v>
      </c>
      <c r="G7" s="231">
        <v>55650</v>
      </c>
      <c r="H7" s="266">
        <f>E7*G3</f>
        <v>69655.95</v>
      </c>
      <c r="I7" s="261">
        <f>H7-E7</f>
        <v>3505.949999999997</v>
      </c>
      <c r="J7" s="253">
        <f>G7*H3</f>
        <v>61381.95</v>
      </c>
      <c r="K7" s="256">
        <f>J7-G7</f>
        <v>5731.949999999997</v>
      </c>
    </row>
    <row r="8" spans="1:11" ht="12.75" customHeight="1">
      <c r="A8" s="228"/>
      <c r="C8" s="479"/>
      <c r="D8" s="317"/>
      <c r="E8" s="216"/>
      <c r="F8" s="320"/>
      <c r="G8" s="220"/>
      <c r="H8" s="267"/>
      <c r="I8" s="262"/>
      <c r="J8" s="254"/>
      <c r="K8" s="257"/>
    </row>
    <row r="9" spans="1:11" ht="8.25" customHeight="1" thickBot="1">
      <c r="A9" s="228"/>
      <c r="C9" s="480"/>
      <c r="D9" s="318"/>
      <c r="E9" s="218"/>
      <c r="F9" s="321"/>
      <c r="G9" s="247"/>
      <c r="H9" s="268"/>
      <c r="I9" s="263"/>
      <c r="J9" s="255"/>
      <c r="K9" s="258"/>
    </row>
    <row r="10" spans="1:11" ht="12.75" customHeight="1">
      <c r="A10" s="228"/>
      <c r="C10" s="478" t="s">
        <v>185</v>
      </c>
      <c r="D10" s="291">
        <v>1</v>
      </c>
      <c r="E10" s="249">
        <v>34650</v>
      </c>
      <c r="F10" s="291">
        <v>1</v>
      </c>
      <c r="G10" s="231">
        <v>28350</v>
      </c>
      <c r="H10" s="266">
        <f>E10*G3</f>
        <v>36486.45</v>
      </c>
      <c r="I10" s="261">
        <f>H10-E10</f>
        <v>1836.449999999997</v>
      </c>
      <c r="J10" s="253">
        <f>G10*H3</f>
        <v>31270.05</v>
      </c>
      <c r="K10" s="256">
        <f>J10-G10</f>
        <v>2920.0499999999993</v>
      </c>
    </row>
    <row r="11" spans="1:11" ht="12.75" customHeight="1">
      <c r="A11" s="228"/>
      <c r="C11" s="479"/>
      <c r="D11" s="291"/>
      <c r="E11" s="216"/>
      <c r="F11" s="291"/>
      <c r="G11" s="220"/>
      <c r="H11" s="267"/>
      <c r="I11" s="262"/>
      <c r="J11" s="254"/>
      <c r="K11" s="257"/>
    </row>
    <row r="12" spans="1:11" ht="12.75" customHeight="1" thickBot="1">
      <c r="A12" s="228"/>
      <c r="C12" s="480"/>
      <c r="D12" s="291"/>
      <c r="E12" s="218"/>
      <c r="F12" s="291"/>
      <c r="G12" s="247"/>
      <c r="H12" s="268"/>
      <c r="I12" s="263"/>
      <c r="J12" s="255"/>
      <c r="K12" s="258"/>
    </row>
    <row r="13" spans="1:11" ht="12.75" customHeight="1">
      <c r="A13" s="228"/>
      <c r="C13" s="479" t="s">
        <v>172</v>
      </c>
      <c r="D13" s="316">
        <v>11</v>
      </c>
      <c r="E13" s="249">
        <v>49350</v>
      </c>
      <c r="F13" s="319">
        <v>16</v>
      </c>
      <c r="G13" s="231">
        <v>38850</v>
      </c>
      <c r="H13" s="266">
        <f>E13*G3</f>
        <v>51965.549999999996</v>
      </c>
      <c r="I13" s="261">
        <f>H13-E13</f>
        <v>2615.5499999999956</v>
      </c>
      <c r="J13" s="253">
        <f>G13*H3</f>
        <v>42851.549999999996</v>
      </c>
      <c r="K13" s="256">
        <f>J13-G13</f>
        <v>4001.5499999999956</v>
      </c>
    </row>
    <row r="14" spans="1:11" ht="12.75" customHeight="1">
      <c r="A14" s="228"/>
      <c r="C14" s="479"/>
      <c r="D14" s="317"/>
      <c r="E14" s="216"/>
      <c r="F14" s="320"/>
      <c r="G14" s="220"/>
      <c r="H14" s="267"/>
      <c r="I14" s="262"/>
      <c r="J14" s="254"/>
      <c r="K14" s="257"/>
    </row>
    <row r="15" spans="1:11" ht="8.25" customHeight="1" thickBot="1">
      <c r="A15" s="228"/>
      <c r="C15" s="479"/>
      <c r="D15" s="318"/>
      <c r="E15" s="218"/>
      <c r="F15" s="321"/>
      <c r="G15" s="247"/>
      <c r="H15" s="268"/>
      <c r="I15" s="263"/>
      <c r="J15" s="255"/>
      <c r="K15" s="258"/>
    </row>
    <row r="16" spans="1:11" ht="12.75" customHeight="1">
      <c r="A16" s="228"/>
      <c r="C16" s="478" t="s">
        <v>186</v>
      </c>
      <c r="D16" s="291">
        <v>1</v>
      </c>
      <c r="E16" s="249">
        <v>72450</v>
      </c>
      <c r="F16" s="291">
        <v>7</v>
      </c>
      <c r="G16" s="231">
        <v>61950</v>
      </c>
      <c r="H16" s="266">
        <f>E16*G3</f>
        <v>76289.84999999999</v>
      </c>
      <c r="I16" s="261">
        <f>H16-E16</f>
        <v>3839.8499999999913</v>
      </c>
      <c r="J16" s="253">
        <f>G16*H3</f>
        <v>68330.85</v>
      </c>
      <c r="K16" s="256">
        <f>J16-G16</f>
        <v>6380.850000000006</v>
      </c>
    </row>
    <row r="17" spans="1:11" ht="12.75" customHeight="1">
      <c r="A17" s="228"/>
      <c r="C17" s="479"/>
      <c r="D17" s="291"/>
      <c r="E17" s="216"/>
      <c r="F17" s="291"/>
      <c r="G17" s="220"/>
      <c r="H17" s="267"/>
      <c r="I17" s="262"/>
      <c r="J17" s="254"/>
      <c r="K17" s="257"/>
    </row>
    <row r="18" spans="1:11" ht="12.75" customHeight="1" thickBot="1">
      <c r="A18" s="228"/>
      <c r="C18" s="480"/>
      <c r="D18" s="291"/>
      <c r="E18" s="218"/>
      <c r="F18" s="291"/>
      <c r="G18" s="247"/>
      <c r="H18" s="268"/>
      <c r="I18" s="263"/>
      <c r="J18" s="255"/>
      <c r="K18" s="258"/>
    </row>
    <row r="19" spans="1:11" ht="13.5">
      <c r="A19" s="228"/>
      <c r="C19" s="479" t="s">
        <v>187</v>
      </c>
      <c r="D19" s="316">
        <v>1</v>
      </c>
      <c r="E19" s="249">
        <v>49350</v>
      </c>
      <c r="F19" s="319">
        <v>1</v>
      </c>
      <c r="G19" s="231">
        <v>44100</v>
      </c>
      <c r="H19" s="266">
        <f>E19*G3</f>
        <v>51965.549999999996</v>
      </c>
      <c r="I19" s="261">
        <f>H19-E19</f>
        <v>2615.5499999999956</v>
      </c>
      <c r="J19" s="253">
        <f>G19*H3</f>
        <v>48642.299999999996</v>
      </c>
      <c r="K19" s="256">
        <f>J19-G19</f>
        <v>4542.299999999996</v>
      </c>
    </row>
    <row r="20" spans="1:11" ht="13.5">
      <c r="A20" s="228"/>
      <c r="C20" s="479"/>
      <c r="D20" s="317"/>
      <c r="E20" s="216"/>
      <c r="F20" s="320"/>
      <c r="G20" s="220"/>
      <c r="H20" s="269"/>
      <c r="I20" s="264"/>
      <c r="J20" s="248"/>
      <c r="K20" s="259"/>
    </row>
    <row r="21" spans="1:11" ht="9" customHeight="1" thickBot="1">
      <c r="A21" s="228"/>
      <c r="C21" s="480"/>
      <c r="D21" s="318"/>
      <c r="E21" s="221"/>
      <c r="F21" s="321"/>
      <c r="G21" s="223"/>
      <c r="H21" s="270"/>
      <c r="I21" s="265"/>
      <c r="J21" s="271"/>
      <c r="K21" s="260"/>
    </row>
    <row r="22" ht="12.75">
      <c r="A22" s="228"/>
    </row>
    <row r="23" ht="12.75">
      <c r="A23" s="228"/>
    </row>
    <row r="24" ht="12.75">
      <c r="A24" s="228"/>
    </row>
    <row r="25" spans="1:7" ht="12.75">
      <c r="A25" s="228"/>
      <c r="E25" s="237" t="s">
        <v>207</v>
      </c>
      <c r="F25" s="237"/>
      <c r="G25" s="238">
        <v>1.053</v>
      </c>
    </row>
    <row r="26" spans="1:7" ht="12.75">
      <c r="A26" s="228"/>
      <c r="E26" s="237" t="s">
        <v>208</v>
      </c>
      <c r="F26" s="237"/>
      <c r="G26" s="238">
        <v>1.053</v>
      </c>
    </row>
    <row r="27" spans="1:8" ht="14.25" thickBot="1">
      <c r="A27" s="228"/>
      <c r="E27" s="236"/>
      <c r="F27" s="236"/>
      <c r="G27" s="39"/>
      <c r="H27" s="236"/>
    </row>
    <row r="28" spans="1:10" ht="12.75" customHeight="1">
      <c r="A28" s="228"/>
      <c r="C28" s="485" t="s">
        <v>211</v>
      </c>
      <c r="D28" s="242"/>
      <c r="E28" s="487" t="s">
        <v>209</v>
      </c>
      <c r="F28" s="488"/>
      <c r="G28" s="489"/>
      <c r="H28" s="475" t="s">
        <v>210</v>
      </c>
      <c r="I28" s="476"/>
      <c r="J28" s="477"/>
    </row>
    <row r="29" spans="1:10" ht="12.75" customHeight="1" thickBot="1">
      <c r="A29" s="228"/>
      <c r="C29" s="486"/>
      <c r="D29" s="303"/>
      <c r="E29" s="243" t="s">
        <v>202</v>
      </c>
      <c r="F29" s="309"/>
      <c r="G29" s="244" t="s">
        <v>213</v>
      </c>
      <c r="H29" s="282" t="s">
        <v>214</v>
      </c>
      <c r="I29" s="252" t="s">
        <v>215</v>
      </c>
      <c r="J29" s="283" t="s">
        <v>216</v>
      </c>
    </row>
    <row r="30" spans="1:10" ht="12.75" customHeight="1">
      <c r="A30" s="228"/>
      <c r="C30" s="467" t="s">
        <v>184</v>
      </c>
      <c r="D30" s="234"/>
      <c r="E30" s="249">
        <v>76650</v>
      </c>
      <c r="F30" s="310"/>
      <c r="G30" s="250">
        <v>66150</v>
      </c>
      <c r="H30" s="249">
        <f>SUM(E30+G30)/2*G25</f>
        <v>75184.2</v>
      </c>
      <c r="I30" s="275">
        <f>H30-E30</f>
        <v>-1465.800000000003</v>
      </c>
      <c r="J30" s="284">
        <f>H30-G30</f>
        <v>9034.199999999997</v>
      </c>
    </row>
    <row r="31" spans="1:10" ht="12.75" customHeight="1">
      <c r="A31" s="228"/>
      <c r="C31" s="468"/>
      <c r="D31" s="234"/>
      <c r="E31" s="278"/>
      <c r="F31" s="312"/>
      <c r="G31" s="279"/>
      <c r="H31" s="217"/>
      <c r="I31" s="276"/>
      <c r="J31" s="285"/>
    </row>
    <row r="32" spans="1:10" ht="12.75" customHeight="1" thickBot="1">
      <c r="A32" s="228"/>
      <c r="C32" s="469"/>
      <c r="D32" s="234"/>
      <c r="E32" s="280"/>
      <c r="F32" s="313"/>
      <c r="G32" s="281"/>
      <c r="H32" s="219"/>
      <c r="I32" s="277"/>
      <c r="J32" s="286"/>
    </row>
    <row r="33" spans="1:10" ht="12.75" customHeight="1">
      <c r="A33" s="228"/>
      <c r="C33" s="467" t="s">
        <v>185</v>
      </c>
      <c r="D33" s="234"/>
      <c r="E33" s="249">
        <v>55650</v>
      </c>
      <c r="F33" s="310"/>
      <c r="G33" s="250">
        <v>49350</v>
      </c>
      <c r="H33" s="266">
        <f>SUM(E33+G33)/2*G26</f>
        <v>55282.5</v>
      </c>
      <c r="I33" s="273">
        <f>H33-E33</f>
        <v>-367.5</v>
      </c>
      <c r="J33" s="284">
        <f>H33-G33</f>
        <v>5932.5</v>
      </c>
    </row>
    <row r="34" spans="1:10" ht="12.75" customHeight="1">
      <c r="A34" s="228"/>
      <c r="C34" s="468"/>
      <c r="D34" s="234"/>
      <c r="E34" s="278"/>
      <c r="F34" s="312"/>
      <c r="G34" s="279"/>
      <c r="H34" s="267"/>
      <c r="I34" s="274"/>
      <c r="J34" s="285"/>
    </row>
    <row r="35" spans="1:10" ht="12.75" customHeight="1" thickBot="1">
      <c r="A35" s="228"/>
      <c r="C35" s="469"/>
      <c r="D35" s="234"/>
      <c r="E35" s="280"/>
      <c r="F35" s="313"/>
      <c r="G35" s="281"/>
      <c r="H35" s="268"/>
      <c r="I35" s="272"/>
      <c r="J35" s="286"/>
    </row>
    <row r="36" spans="1:10" ht="12.75" customHeight="1">
      <c r="A36" s="228"/>
      <c r="C36" s="468" t="s">
        <v>172</v>
      </c>
      <c r="D36" s="234"/>
      <c r="E36" s="249">
        <v>49350</v>
      </c>
      <c r="F36" s="310"/>
      <c r="G36" s="250">
        <v>38850</v>
      </c>
      <c r="H36" s="266">
        <f>SUM(E36+G36)/2*G26</f>
        <v>46437.299999999996</v>
      </c>
      <c r="I36" s="273">
        <f>H36-E36</f>
        <v>-2912.7000000000044</v>
      </c>
      <c r="J36" s="284">
        <f>H36-G36</f>
        <v>7587.299999999996</v>
      </c>
    </row>
    <row r="37" spans="1:10" ht="12.75" customHeight="1">
      <c r="A37" s="228"/>
      <c r="C37" s="468"/>
      <c r="D37" s="234"/>
      <c r="E37" s="278"/>
      <c r="F37" s="312"/>
      <c r="G37" s="279"/>
      <c r="H37" s="267"/>
      <c r="I37" s="274"/>
      <c r="J37" s="285"/>
    </row>
    <row r="38" spans="1:10" ht="12.75" customHeight="1" thickBot="1">
      <c r="A38" s="228"/>
      <c r="C38" s="468"/>
      <c r="D38" s="234"/>
      <c r="E38" s="280"/>
      <c r="F38" s="313"/>
      <c r="G38" s="281"/>
      <c r="H38" s="268"/>
      <c r="I38" s="272"/>
      <c r="J38" s="286"/>
    </row>
    <row r="39" spans="1:10" ht="12.75" customHeight="1">
      <c r="A39" s="228"/>
      <c r="C39" s="467" t="s">
        <v>186</v>
      </c>
      <c r="D39" s="234"/>
      <c r="E39" s="249">
        <v>72450</v>
      </c>
      <c r="F39" s="310"/>
      <c r="G39" s="250">
        <v>61950</v>
      </c>
      <c r="H39" s="266">
        <f>SUM(E39+G39)/2*G25</f>
        <v>70761.59999999999</v>
      </c>
      <c r="I39" s="273">
        <f>H39-E39</f>
        <v>-1688.4000000000087</v>
      </c>
      <c r="J39" s="284">
        <f>H39-G39</f>
        <v>8811.599999999991</v>
      </c>
    </row>
    <row r="40" spans="1:10" ht="12.75" customHeight="1">
      <c r="A40" s="228"/>
      <c r="C40" s="468"/>
      <c r="D40" s="234"/>
      <c r="E40" s="278"/>
      <c r="F40" s="312"/>
      <c r="G40" s="279"/>
      <c r="H40" s="267"/>
      <c r="I40" s="274"/>
      <c r="J40" s="285"/>
    </row>
    <row r="41" spans="1:10" ht="12.75" customHeight="1" thickBot="1">
      <c r="A41" s="228"/>
      <c r="C41" s="469"/>
      <c r="D41" s="234"/>
      <c r="E41" s="280"/>
      <c r="F41" s="313"/>
      <c r="G41" s="281"/>
      <c r="H41" s="268"/>
      <c r="I41" s="272"/>
      <c r="J41" s="286"/>
    </row>
    <row r="42" spans="1:10" ht="13.5">
      <c r="A42" s="228"/>
      <c r="C42" s="468" t="s">
        <v>187</v>
      </c>
      <c r="D42" s="234"/>
      <c r="E42" s="249">
        <v>49350</v>
      </c>
      <c r="F42" s="310"/>
      <c r="G42" s="250">
        <v>44100</v>
      </c>
      <c r="H42" s="266">
        <f>SUM(E42+G42)/2*G26</f>
        <v>49201.424999999996</v>
      </c>
      <c r="I42" s="273">
        <f>H42-E42</f>
        <v>-148.57500000000437</v>
      </c>
      <c r="J42" s="284">
        <f>H42-G42</f>
        <v>5101.424999999996</v>
      </c>
    </row>
    <row r="43" spans="1:10" ht="13.5">
      <c r="A43" s="228"/>
      <c r="C43" s="468"/>
      <c r="D43" s="234"/>
      <c r="E43" s="278"/>
      <c r="F43" s="312"/>
      <c r="G43" s="279"/>
      <c r="H43" s="267"/>
      <c r="I43" s="274"/>
      <c r="J43" s="285"/>
    </row>
    <row r="44" spans="1:10" ht="14.25" thickBot="1">
      <c r="A44" s="228"/>
      <c r="C44" s="469"/>
      <c r="D44" s="235"/>
      <c r="E44" s="221"/>
      <c r="F44" s="311"/>
      <c r="G44" s="222"/>
      <c r="H44" s="287"/>
      <c r="I44" s="288"/>
      <c r="J44" s="289"/>
    </row>
    <row r="45" spans="1:10" ht="13.5">
      <c r="A45" s="228"/>
      <c r="C45" s="251"/>
      <c r="D45" s="251"/>
      <c r="E45" s="226"/>
      <c r="F45" s="226"/>
      <c r="G45" s="226"/>
      <c r="H45" s="241"/>
      <c r="I45" s="241"/>
      <c r="J45" s="241"/>
    </row>
    <row r="46" spans="1:10" ht="13.5">
      <c r="A46" s="228"/>
      <c r="C46" s="251"/>
      <c r="D46" s="251"/>
      <c r="E46" s="226"/>
      <c r="F46" s="226"/>
      <c r="G46" s="226"/>
      <c r="H46" s="241"/>
      <c r="I46" s="241"/>
      <c r="J46" s="241"/>
    </row>
    <row r="47" spans="1:11" ht="13.5">
      <c r="A47" s="228"/>
      <c r="B47" s="224"/>
      <c r="C47" s="225"/>
      <c r="D47" s="225"/>
      <c r="E47" s="226"/>
      <c r="F47" s="226"/>
      <c r="G47" s="226"/>
      <c r="H47" s="227"/>
      <c r="I47" s="227"/>
      <c r="J47" s="227"/>
      <c r="K47" s="224"/>
    </row>
    <row r="48" spans="1:11" ht="13.5">
      <c r="A48" s="228"/>
      <c r="B48" s="224"/>
      <c r="C48" s="225"/>
      <c r="D48" s="225"/>
      <c r="E48" s="237" t="s">
        <v>204</v>
      </c>
      <c r="F48" s="237"/>
      <c r="G48" s="237">
        <v>1.5</v>
      </c>
      <c r="H48" s="290"/>
      <c r="I48" s="227"/>
      <c r="J48" s="227"/>
      <c r="K48" s="224"/>
    </row>
    <row r="49" spans="1:11" ht="14.25" thickBot="1">
      <c r="A49" s="228"/>
      <c r="B49" s="224"/>
      <c r="C49" s="225"/>
      <c r="D49" s="225"/>
      <c r="E49" s="226"/>
      <c r="F49" s="226"/>
      <c r="G49" s="226"/>
      <c r="H49" s="227"/>
      <c r="I49" s="227"/>
      <c r="J49" s="227"/>
      <c r="K49" s="224"/>
    </row>
    <row r="50" spans="1:15" ht="12.75" customHeight="1" thickBot="1">
      <c r="A50" s="228"/>
      <c r="B50" s="224"/>
      <c r="C50" s="470" t="s">
        <v>217</v>
      </c>
      <c r="D50" s="304"/>
      <c r="E50" s="491" t="s">
        <v>209</v>
      </c>
      <c r="F50" s="492"/>
      <c r="G50" s="492"/>
      <c r="H50" s="294" t="s">
        <v>210</v>
      </c>
      <c r="J50" s="227"/>
      <c r="K50" s="490"/>
      <c r="L50" s="236"/>
      <c r="M50" s="236"/>
      <c r="N50" s="493"/>
      <c r="O50" s="493"/>
    </row>
    <row r="51" spans="1:15" ht="11.25" customHeight="1">
      <c r="A51" s="228"/>
      <c r="C51" s="471"/>
      <c r="D51" s="305"/>
      <c r="E51" s="494" t="s">
        <v>219</v>
      </c>
      <c r="F51" s="314"/>
      <c r="G51" s="496" t="s">
        <v>218</v>
      </c>
      <c r="H51" s="498" t="s">
        <v>205</v>
      </c>
      <c r="K51" s="490"/>
      <c r="L51" s="236"/>
      <c r="M51" s="236"/>
      <c r="N51" s="490"/>
      <c r="O51" s="490"/>
    </row>
    <row r="52" spans="1:15" ht="4.5" customHeight="1" thickBot="1">
      <c r="A52" s="228"/>
      <c r="C52" s="472"/>
      <c r="D52" s="306"/>
      <c r="E52" s="495"/>
      <c r="F52" s="315"/>
      <c r="G52" s="497"/>
      <c r="H52" s="499"/>
      <c r="K52" s="490"/>
      <c r="L52" s="236"/>
      <c r="M52" s="236"/>
      <c r="N52" s="490"/>
      <c r="O52" s="490"/>
    </row>
    <row r="53" spans="1:15" ht="12.75" customHeight="1">
      <c r="A53" s="228"/>
      <c r="C53" s="467" t="s">
        <v>184</v>
      </c>
      <c r="D53" s="233"/>
      <c r="E53" s="232">
        <v>0</v>
      </c>
      <c r="F53" s="232"/>
      <c r="G53" s="501" t="s">
        <v>220</v>
      </c>
      <c r="H53" s="295">
        <f>'Ap. 2 Ingresos C. Benef.'!M16</f>
        <v>117342</v>
      </c>
      <c r="K53" s="500"/>
      <c r="L53" s="236"/>
      <c r="M53" s="236"/>
      <c r="N53" s="504"/>
      <c r="O53" s="504"/>
    </row>
    <row r="54" spans="1:15" ht="12.75" customHeight="1" thickBot="1">
      <c r="A54" s="228"/>
      <c r="C54" s="468"/>
      <c r="D54" s="234"/>
      <c r="E54" s="291"/>
      <c r="F54" s="291"/>
      <c r="G54" s="502"/>
      <c r="H54" s="296"/>
      <c r="K54" s="500"/>
      <c r="L54" s="236"/>
      <c r="M54" s="236"/>
      <c r="N54" s="504"/>
      <c r="O54" s="504"/>
    </row>
    <row r="55" spans="1:15" ht="12.75" customHeight="1">
      <c r="A55" s="228"/>
      <c r="C55" s="473" t="s">
        <v>185</v>
      </c>
      <c r="D55" s="307"/>
      <c r="E55" s="301">
        <v>0</v>
      </c>
      <c r="F55" s="300"/>
      <c r="G55" s="502"/>
      <c r="H55" s="298">
        <f>'Ap. 2 Ingresos C. Benef.'!M19</f>
        <v>60738</v>
      </c>
      <c r="K55" s="500"/>
      <c r="L55" s="236"/>
      <c r="M55" s="236"/>
      <c r="N55" s="504"/>
      <c r="O55" s="504"/>
    </row>
    <row r="56" spans="1:15" ht="12.75" customHeight="1" thickBot="1">
      <c r="A56" s="228"/>
      <c r="C56" s="474"/>
      <c r="D56" s="308"/>
      <c r="E56" s="302"/>
      <c r="F56" s="300"/>
      <c r="G56" s="502"/>
      <c r="H56" s="296"/>
      <c r="K56" s="500"/>
      <c r="L56" s="236"/>
      <c r="M56" s="236"/>
      <c r="N56" s="504"/>
      <c r="O56" s="504"/>
    </row>
    <row r="57" spans="1:15" ht="12.75" customHeight="1">
      <c r="A57" s="228"/>
      <c r="C57" s="468" t="s">
        <v>172</v>
      </c>
      <c r="D57" s="234"/>
      <c r="E57" s="291">
        <v>3</v>
      </c>
      <c r="F57" s="291"/>
      <c r="G57" s="502"/>
      <c r="H57" s="298">
        <f>'Ap. 2 Ingresos C. Benef.'!M31</f>
        <v>85012</v>
      </c>
      <c r="K57" s="500"/>
      <c r="L57" s="236"/>
      <c r="M57" s="236"/>
      <c r="N57" s="504"/>
      <c r="O57" s="504"/>
    </row>
    <row r="58" spans="1:15" ht="12.75" customHeight="1" thickBot="1">
      <c r="A58" s="228"/>
      <c r="C58" s="468"/>
      <c r="D58" s="234"/>
      <c r="E58" s="291"/>
      <c r="F58" s="291"/>
      <c r="G58" s="502"/>
      <c r="H58" s="296"/>
      <c r="K58" s="500"/>
      <c r="L58" s="236"/>
      <c r="M58" s="236"/>
      <c r="N58" s="504"/>
      <c r="O58" s="504"/>
    </row>
    <row r="59" spans="1:15" ht="12.75" customHeight="1">
      <c r="A59" s="228"/>
      <c r="C59" s="467" t="s">
        <v>186</v>
      </c>
      <c r="D59" s="234"/>
      <c r="E59" s="292">
        <v>4</v>
      </c>
      <c r="F59" s="291"/>
      <c r="G59" s="502"/>
      <c r="H59" s="298">
        <f>'Ap. 2 Ingresos C. Benef.'!M34</f>
        <v>119356</v>
      </c>
      <c r="K59" s="500"/>
      <c r="L59" s="236"/>
      <c r="M59" s="236"/>
      <c r="N59" s="504"/>
      <c r="O59" s="504"/>
    </row>
    <row r="60" spans="1:15" ht="12.75" customHeight="1">
      <c r="A60" s="228"/>
      <c r="C60" s="468"/>
      <c r="D60" s="234"/>
      <c r="E60" s="291"/>
      <c r="F60" s="291"/>
      <c r="G60" s="502"/>
      <c r="H60" s="296"/>
      <c r="K60" s="500"/>
      <c r="L60" s="236"/>
      <c r="M60" s="236"/>
      <c r="N60" s="504"/>
      <c r="O60" s="504"/>
    </row>
    <row r="61" spans="1:15" ht="12.75" customHeight="1" thickBot="1">
      <c r="A61" s="228"/>
      <c r="C61" s="469"/>
      <c r="D61" s="234"/>
      <c r="E61" s="291"/>
      <c r="F61" s="291"/>
      <c r="G61" s="502"/>
      <c r="H61" s="297"/>
      <c r="K61" s="500"/>
      <c r="L61" s="236"/>
      <c r="M61" s="236"/>
      <c r="N61" s="504"/>
      <c r="O61" s="504"/>
    </row>
    <row r="62" spans="3:15" ht="13.5">
      <c r="C62" s="468" t="s">
        <v>187</v>
      </c>
      <c r="D62" s="234"/>
      <c r="E62" s="292">
        <v>0</v>
      </c>
      <c r="F62" s="291"/>
      <c r="G62" s="502"/>
      <c r="H62" s="298">
        <f>'Ap. 2 Ingresos C. Benef.'!M37</f>
        <v>89994</v>
      </c>
      <c r="K62" s="500"/>
      <c r="L62" s="236"/>
      <c r="M62" s="236"/>
      <c r="N62" s="504"/>
      <c r="O62" s="504"/>
    </row>
    <row r="63" spans="3:15" ht="14.25" thickBot="1">
      <c r="C63" s="469"/>
      <c r="D63" s="235"/>
      <c r="E63" s="293"/>
      <c r="F63" s="293"/>
      <c r="G63" s="503"/>
      <c r="H63" s="299"/>
      <c r="K63" s="500"/>
      <c r="L63" s="236"/>
      <c r="M63" s="236"/>
      <c r="N63" s="504"/>
      <c r="O63" s="504"/>
    </row>
    <row r="64" spans="11:15" ht="12.75">
      <c r="K64" s="236"/>
      <c r="L64" s="236"/>
      <c r="M64" s="236"/>
      <c r="N64" s="236"/>
      <c r="O64" s="236"/>
    </row>
    <row r="65" spans="11:15" ht="12.75">
      <c r="K65" s="236"/>
      <c r="L65" s="236"/>
      <c r="M65" s="236"/>
      <c r="N65" s="236"/>
      <c r="O65" s="236"/>
    </row>
    <row r="66" spans="11:15" ht="12.75">
      <c r="K66" s="236"/>
      <c r="L66" s="236"/>
      <c r="M66" s="236"/>
      <c r="N66" s="236"/>
      <c r="O66" s="236"/>
    </row>
    <row r="67" spans="11:15" ht="12.75">
      <c r="K67" s="236"/>
      <c r="L67" s="236"/>
      <c r="M67" s="236"/>
      <c r="N67" s="236"/>
      <c r="O67" s="236"/>
    </row>
  </sheetData>
  <sheetProtection/>
  <mergeCells count="46">
    <mergeCell ref="K59:K61"/>
    <mergeCell ref="N59:O59"/>
    <mergeCell ref="N60:O61"/>
    <mergeCell ref="K62:K63"/>
    <mergeCell ref="N62:O62"/>
    <mergeCell ref="N63:O63"/>
    <mergeCell ref="K53:K54"/>
    <mergeCell ref="G53:G63"/>
    <mergeCell ref="N53:O53"/>
    <mergeCell ref="N54:O54"/>
    <mergeCell ref="K55:K56"/>
    <mergeCell ref="N55:O55"/>
    <mergeCell ref="N56:O56"/>
    <mergeCell ref="K57:K58"/>
    <mergeCell ref="N57:O57"/>
    <mergeCell ref="N58:O58"/>
    <mergeCell ref="K50:K52"/>
    <mergeCell ref="E50:G50"/>
    <mergeCell ref="N50:O50"/>
    <mergeCell ref="E51:E52"/>
    <mergeCell ref="G51:G52"/>
    <mergeCell ref="N51:O52"/>
    <mergeCell ref="H51:H52"/>
    <mergeCell ref="D5:G5"/>
    <mergeCell ref="C33:C35"/>
    <mergeCell ref="E2:E3"/>
    <mergeCell ref="C5:C6"/>
    <mergeCell ref="C28:C29"/>
    <mergeCell ref="E28:G28"/>
    <mergeCell ref="C36:C38"/>
    <mergeCell ref="C39:C41"/>
    <mergeCell ref="H5:K5"/>
    <mergeCell ref="C7:C9"/>
    <mergeCell ref="C10:C12"/>
    <mergeCell ref="C13:C15"/>
    <mergeCell ref="C16:C18"/>
    <mergeCell ref="C19:C21"/>
    <mergeCell ref="H28:J28"/>
    <mergeCell ref="C30:C32"/>
    <mergeCell ref="C59:C61"/>
    <mergeCell ref="C62:C63"/>
    <mergeCell ref="C50:C52"/>
    <mergeCell ref="C42:C44"/>
    <mergeCell ref="C53:C54"/>
    <mergeCell ref="C55:C56"/>
    <mergeCell ref="C57:C5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2014-11-27T21:02:18Z</cp:lastPrinted>
  <dcterms:created xsi:type="dcterms:W3CDTF">2004-08-23T01:48:25Z</dcterms:created>
  <dcterms:modified xsi:type="dcterms:W3CDTF">2017-01-05T19:45:31Z</dcterms:modified>
  <cp:category/>
  <cp:version/>
  <cp:contentType/>
  <cp:contentStatus/>
  <cp:revision>37</cp:revision>
</cp:coreProperties>
</file>