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Documentos\2020\TARIFAS 2021\SIMULACION TARIFAS SC\"/>
    </mc:Choice>
  </mc:AlternateContent>
  <xr:revisionPtr revIDLastSave="0" documentId="13_ncr:1_{DD5EA3C4-D37D-4978-85A8-29DBF4F03D29}" xr6:coauthVersionLast="45" xr6:coauthVersionMax="45" xr10:uidLastSave="{00000000-0000-0000-0000-000000000000}"/>
  <workbookProtection workbookPassword="9C6E" lockStructure="1"/>
  <bookViews>
    <workbookView xWindow="450" yWindow="6090" windowWidth="28830" windowHeight="7800" tabRatio="911" firstSheet="1" activeTab="3" xr2:uid="{00000000-000D-0000-FFFF-FFFF00000000}"/>
  </bookViews>
  <sheets>
    <sheet name="Instrucciones" sheetId="14" r:id="rId1"/>
    <sheet name="Índice Tablas" sheetId="11" r:id="rId2"/>
    <sheet name="20201001Tarifas 2021 Stgo 09 21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</sheets>
  <externalReferences>
    <externalReference r:id="rId11"/>
  </externalReferences>
  <definedNames>
    <definedName name="__xlnm_Print_Area">'20201001Tarifas 2021 Stgo 09 21'!$A$1:$N$30</definedName>
    <definedName name="__xlnm_Print_Area_1">'C) Costos Directos'!$A$1:$H$38</definedName>
    <definedName name="__xlnm_Print_Area_2">'E) Resumen Tarifado '!$A$4:$G$12</definedName>
    <definedName name="__xlnm_Print_Titles">'20201001Tarifas 2021 Stgo 09 21'!$1:$20</definedName>
    <definedName name="__xlnm_Print_Titles_1">'C) Costos Directos'!$1:$11</definedName>
    <definedName name="__xlnm_Print_Titles_2">NA()</definedName>
    <definedName name="_xlnm.Print_Area" localSheetId="2">'20201001Tarifas 2021 Stgo 09 21'!$A$1:$N$30</definedName>
    <definedName name="_xlnm.Print_Area" localSheetId="4">'C) Costos Directos'!$A$1:$H$75</definedName>
    <definedName name="_xlnm.Print_Area" localSheetId="6">'E) Resumen Tarifado '!$A$4:$G$12</definedName>
    <definedName name="bienique1">'20201001Tarifas 2021 Stgo 09 21'!$A$8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'20201001Tarifas 2021 Stgo 09 21'!$1:$20</definedName>
    <definedName name="_xlnm.Print_Titles" localSheetId="4">'C) Costos Directos'!$1:$11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5" i="7" l="1"/>
  <c r="P15" i="7"/>
  <c r="O15" i="7"/>
  <c r="N15" i="7"/>
  <c r="F19" i="3" l="1"/>
  <c r="F84" i="3"/>
  <c r="F95" i="9"/>
  <c r="F94" i="9"/>
  <c r="F47" i="9"/>
  <c r="F48" i="9"/>
  <c r="F83" i="3" l="1"/>
  <c r="M39" i="3"/>
  <c r="M24" i="3"/>
  <c r="M17" i="3"/>
  <c r="F20" i="3"/>
  <c r="E130" i="9" l="1"/>
  <c r="F130" i="9" s="1"/>
  <c r="E129" i="9" l="1"/>
  <c r="F129" i="9" s="1"/>
  <c r="E128" i="9"/>
  <c r="F128" i="9" s="1"/>
  <c r="E126" i="9"/>
  <c r="F126" i="9" s="1"/>
  <c r="E125" i="9"/>
  <c r="F125" i="9" s="1"/>
  <c r="E124" i="9"/>
  <c r="F124" i="9" s="1"/>
  <c r="E123" i="9"/>
  <c r="F123" i="9" s="1"/>
  <c r="E122" i="9"/>
  <c r="F122" i="9" s="1"/>
  <c r="E121" i="9"/>
  <c r="F121" i="9" s="1"/>
  <c r="E119" i="9"/>
  <c r="F119" i="9" s="1"/>
  <c r="E118" i="9"/>
  <c r="E117" i="9"/>
  <c r="F117" i="9" s="1"/>
  <c r="E115" i="9"/>
  <c r="F115" i="9" s="1"/>
  <c r="E114" i="9"/>
  <c r="E113" i="9"/>
  <c r="F113" i="9" s="1"/>
  <c r="E112" i="9"/>
  <c r="F112" i="9" s="1"/>
  <c r="E111" i="9"/>
  <c r="E110" i="9"/>
  <c r="F110" i="9" s="1"/>
  <c r="E109" i="9"/>
  <c r="F109" i="9" s="1"/>
  <c r="E108" i="9"/>
  <c r="F108" i="9" s="1"/>
  <c r="E107" i="9"/>
  <c r="F107" i="9" s="1"/>
  <c r="F106" i="9"/>
  <c r="E104" i="9"/>
  <c r="F104" i="9" s="1"/>
  <c r="E103" i="9"/>
  <c r="F103" i="9" s="1"/>
  <c r="E99" i="9"/>
  <c r="F99" i="9" s="1"/>
  <c r="E98" i="9"/>
  <c r="F98" i="9" s="1"/>
  <c r="F97" i="9"/>
  <c r="F93" i="9"/>
  <c r="E93" i="9"/>
  <c r="F21" i="3"/>
  <c r="E84" i="9" l="1"/>
  <c r="F84" i="9" s="1"/>
  <c r="E82" i="9"/>
  <c r="F82" i="9" s="1"/>
  <c r="E80" i="9"/>
  <c r="F80" i="9" s="1"/>
  <c r="E79" i="9"/>
  <c r="F79" i="9" s="1"/>
  <c r="E78" i="9"/>
  <c r="F78" i="9" s="1"/>
  <c r="E77" i="9"/>
  <c r="F77" i="9" s="1"/>
  <c r="E76" i="9"/>
  <c r="F76" i="9" s="1"/>
  <c r="E75" i="9"/>
  <c r="F75" i="9" s="1"/>
  <c r="E73" i="9"/>
  <c r="F73" i="9" s="1"/>
  <c r="E72" i="9"/>
  <c r="E71" i="9"/>
  <c r="F71" i="9" s="1"/>
  <c r="E69" i="9"/>
  <c r="F69" i="9" s="1"/>
  <c r="E68" i="9"/>
  <c r="E67" i="9"/>
  <c r="F67" i="9" s="1"/>
  <c r="E66" i="9"/>
  <c r="F66" i="9" s="1"/>
  <c r="E65" i="9"/>
  <c r="E64" i="9"/>
  <c r="F64" i="9" s="1"/>
  <c r="E63" i="9"/>
  <c r="F63" i="9" s="1"/>
  <c r="E62" i="9"/>
  <c r="F62" i="9" s="1"/>
  <c r="E61" i="9"/>
  <c r="F61" i="9" s="1"/>
  <c r="F60" i="9"/>
  <c r="E58" i="9"/>
  <c r="F58" i="9" s="1"/>
  <c r="E57" i="9"/>
  <c r="F57" i="9" s="1"/>
  <c r="E52" i="9"/>
  <c r="F52" i="9" s="1"/>
  <c r="E51" i="9"/>
  <c r="F51" i="9" s="1"/>
  <c r="E50" i="9"/>
  <c r="F50" i="9" s="1"/>
  <c r="F46" i="9"/>
  <c r="E46" i="9"/>
  <c r="E34" i="9" l="1"/>
  <c r="E37" i="9"/>
  <c r="E36" i="9"/>
  <c r="E35" i="9"/>
  <c r="E39" i="9" l="1"/>
  <c r="I37" i="2"/>
  <c r="I31" i="2"/>
  <c r="J30" i="12" l="1"/>
  <c r="G138" i="3"/>
  <c r="G137" i="3" s="1"/>
  <c r="D137" i="3"/>
  <c r="G136" i="3"/>
  <c r="G135" i="3"/>
  <c r="G134" i="3"/>
  <c r="G133" i="3"/>
  <c r="G132" i="3"/>
  <c r="G131" i="3"/>
  <c r="G130" i="3"/>
  <c r="G128" i="3"/>
  <c r="G127" i="3"/>
  <c r="G126" i="3"/>
  <c r="G125" i="3"/>
  <c r="H125" i="3" s="1"/>
  <c r="G124" i="3"/>
  <c r="G123" i="3"/>
  <c r="G122" i="3"/>
  <c r="G121" i="3"/>
  <c r="G119" i="3"/>
  <c r="G118" i="3"/>
  <c r="G117" i="3"/>
  <c r="G116" i="3"/>
  <c r="G115" i="3"/>
  <c r="G114" i="3"/>
  <c r="G113" i="3"/>
  <c r="G112" i="3"/>
  <c r="G110" i="3"/>
  <c r="G109" i="3" s="1"/>
  <c r="G108" i="3"/>
  <c r="G107" i="3"/>
  <c r="G106" i="3"/>
  <c r="H106" i="3" s="1"/>
  <c r="G105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H85" i="3" s="1"/>
  <c r="G84" i="3"/>
  <c r="H84" i="3" s="1"/>
  <c r="G83" i="3"/>
  <c r="H83" i="3" s="1"/>
  <c r="G81" i="3"/>
  <c r="H81" i="3" s="1"/>
  <c r="G80" i="3"/>
  <c r="G79" i="3"/>
  <c r="H79" i="3" s="1"/>
  <c r="G78" i="3"/>
  <c r="H28" i="7"/>
  <c r="H26" i="7"/>
  <c r="J38" i="2"/>
  <c r="K38" i="2"/>
  <c r="L38" i="2"/>
  <c r="G38" i="2" s="1"/>
  <c r="M38" i="2"/>
  <c r="I38" i="2"/>
  <c r="I39" i="2" s="1"/>
  <c r="J32" i="2"/>
  <c r="E32" i="2" s="1"/>
  <c r="K32" i="2"/>
  <c r="F32" i="2" s="1"/>
  <c r="L32" i="2"/>
  <c r="G32" i="2" s="1"/>
  <c r="M32" i="2"/>
  <c r="I32" i="2"/>
  <c r="H25" i="7"/>
  <c r="H24" i="7"/>
  <c r="H23" i="7"/>
  <c r="Q17" i="7"/>
  <c r="M37" i="2" s="1"/>
  <c r="H37" i="2" s="1"/>
  <c r="P17" i="7"/>
  <c r="L37" i="2" s="1"/>
  <c r="O17" i="7"/>
  <c r="K37" i="2" s="1"/>
  <c r="F37" i="2" s="1"/>
  <c r="N17" i="7"/>
  <c r="J37" i="2" s="1"/>
  <c r="E37" i="2" s="1"/>
  <c r="M31" i="2"/>
  <c r="H31" i="2" s="1"/>
  <c r="L31" i="2"/>
  <c r="G31" i="2" s="1"/>
  <c r="K31" i="2"/>
  <c r="J31" i="2"/>
  <c r="E31" i="2" s="1"/>
  <c r="F38" i="2"/>
  <c r="L39" i="2"/>
  <c r="M35" i="2"/>
  <c r="M36" i="2" s="1"/>
  <c r="L35" i="2"/>
  <c r="L36" i="2" s="1"/>
  <c r="K35" i="2"/>
  <c r="K36" i="2" s="1"/>
  <c r="J35" i="2"/>
  <c r="J36" i="2" s="1"/>
  <c r="I35" i="2"/>
  <c r="I36" i="2" s="1"/>
  <c r="D39" i="2"/>
  <c r="D36" i="2"/>
  <c r="D33" i="2"/>
  <c r="H35" i="2" l="1"/>
  <c r="H36" i="2" s="1"/>
  <c r="G77" i="3"/>
  <c r="G111" i="3"/>
  <c r="G120" i="3"/>
  <c r="G129" i="3"/>
  <c r="K33" i="2"/>
  <c r="G104" i="3"/>
  <c r="E35" i="2"/>
  <c r="E36" i="2" s="1"/>
  <c r="G35" i="2"/>
  <c r="G36" i="2" s="1"/>
  <c r="M33" i="2"/>
  <c r="F31" i="2"/>
  <c r="F33" i="2" s="1"/>
  <c r="J39" i="2"/>
  <c r="F35" i="2"/>
  <c r="F36" i="2" s="1"/>
  <c r="G33" i="2"/>
  <c r="M39" i="2"/>
  <c r="J33" i="2"/>
  <c r="F39" i="2"/>
  <c r="G37" i="2"/>
  <c r="G39" i="2" s="1"/>
  <c r="I33" i="2"/>
  <c r="G82" i="3"/>
  <c r="G76" i="3" s="1"/>
  <c r="H105" i="3"/>
  <c r="H138" i="3"/>
  <c r="H137" i="3" s="1"/>
  <c r="E38" i="2"/>
  <c r="E39" i="2" s="1"/>
  <c r="H32" i="2"/>
  <c r="H33" i="2" s="1"/>
  <c r="L33" i="2"/>
  <c r="H38" i="2"/>
  <c r="H39" i="2" s="1"/>
  <c r="K39" i="2"/>
  <c r="E33" i="2"/>
  <c r="G103" i="3" l="1"/>
  <c r="G139" i="3" s="1"/>
  <c r="G21" i="1" l="1"/>
  <c r="G19" i="1"/>
  <c r="D201" i="3"/>
  <c r="D193" i="3"/>
  <c r="D184" i="3"/>
  <c r="D175" i="3"/>
  <c r="D173" i="3"/>
  <c r="D172" i="3"/>
  <c r="D171" i="3"/>
  <c r="A19" i="1"/>
  <c r="B19" i="1"/>
  <c r="C19" i="1"/>
  <c r="Q19" i="1"/>
  <c r="B20" i="1"/>
  <c r="B21" i="1"/>
  <c r="C21" i="1"/>
  <c r="Q21" i="1"/>
  <c r="K30" i="12"/>
  <c r="J29" i="12"/>
  <c r="K29" i="12" s="1"/>
  <c r="J28" i="12"/>
  <c r="K28" i="12" s="1"/>
  <c r="J27" i="12"/>
  <c r="K27" i="12" s="1"/>
  <c r="J26" i="12"/>
  <c r="K26" i="12" s="1"/>
  <c r="J25" i="12"/>
  <c r="K25" i="12" s="1"/>
  <c r="J24" i="12"/>
  <c r="K24" i="12" s="1"/>
  <c r="J23" i="12"/>
  <c r="K23" i="12" s="1"/>
  <c r="A13" i="5"/>
  <c r="B13" i="5"/>
  <c r="C13" i="5"/>
  <c r="B14" i="5"/>
  <c r="B15" i="5"/>
  <c r="C15" i="5"/>
  <c r="N14" i="3"/>
  <c r="D22" i="3" s="1"/>
  <c r="O14" i="3"/>
  <c r="D86" i="3" s="1"/>
  <c r="N15" i="3"/>
  <c r="D23" i="3" s="1"/>
  <c r="O15" i="3"/>
  <c r="D87" i="3" s="1"/>
  <c r="H87" i="3" s="1"/>
  <c r="N16" i="3"/>
  <c r="D24" i="3" s="1"/>
  <c r="O16" i="3"/>
  <c r="D88" i="3" s="1"/>
  <c r="H88" i="3" s="1"/>
  <c r="N17" i="3"/>
  <c r="D25" i="3" s="1"/>
  <c r="O17" i="3"/>
  <c r="D89" i="3" s="1"/>
  <c r="H89" i="3" s="1"/>
  <c r="N18" i="3"/>
  <c r="D26" i="3" s="1"/>
  <c r="O18" i="3"/>
  <c r="D90" i="3" s="1"/>
  <c r="H90" i="3" s="1"/>
  <c r="N19" i="3"/>
  <c r="D27" i="3" s="1"/>
  <c r="O19" i="3"/>
  <c r="D91" i="3" s="1"/>
  <c r="H91" i="3" s="1"/>
  <c r="N20" i="3"/>
  <c r="D28" i="3" s="1"/>
  <c r="O20" i="3"/>
  <c r="D92" i="3" s="1"/>
  <c r="H92" i="3" s="1"/>
  <c r="N21" i="3"/>
  <c r="D29" i="3" s="1"/>
  <c r="O21" i="3"/>
  <c r="D93" i="3" s="1"/>
  <c r="H93" i="3" s="1"/>
  <c r="N22" i="3"/>
  <c r="D30" i="3" s="1"/>
  <c r="O22" i="3"/>
  <c r="D94" i="3" s="1"/>
  <c r="H94" i="3" s="1"/>
  <c r="N23" i="3"/>
  <c r="D31" i="3" s="1"/>
  <c r="O23" i="3"/>
  <c r="D95" i="3" s="1"/>
  <c r="H95" i="3" s="1"/>
  <c r="N24" i="3"/>
  <c r="D32" i="3" s="1"/>
  <c r="O24" i="3"/>
  <c r="D96" i="3" s="1"/>
  <c r="H96" i="3" s="1"/>
  <c r="N25" i="3"/>
  <c r="D33" i="3" s="1"/>
  <c r="O25" i="3"/>
  <c r="D97" i="3" s="1"/>
  <c r="H97" i="3" s="1"/>
  <c r="N26" i="3"/>
  <c r="D34" i="3" s="1"/>
  <c r="O26" i="3"/>
  <c r="D98" i="3" s="1"/>
  <c r="H98" i="3" s="1"/>
  <c r="N27" i="3"/>
  <c r="D35" i="3" s="1"/>
  <c r="O27" i="3"/>
  <c r="D99" i="3" s="1"/>
  <c r="H99" i="3" s="1"/>
  <c r="N28" i="3"/>
  <c r="D36" i="3" s="1"/>
  <c r="O28" i="3"/>
  <c r="D100" i="3" s="1"/>
  <c r="H100" i="3" s="1"/>
  <c r="N29" i="3"/>
  <c r="D37" i="3" s="1"/>
  <c r="O29" i="3"/>
  <c r="D101" i="3" s="1"/>
  <c r="H101" i="3" s="1"/>
  <c r="N30" i="3"/>
  <c r="D38" i="3" s="1"/>
  <c r="O30" i="3"/>
  <c r="D102" i="3" s="1"/>
  <c r="H102" i="3" s="1"/>
  <c r="N33" i="3"/>
  <c r="D43" i="3" s="1"/>
  <c r="O33" i="3"/>
  <c r="D107" i="3" s="1"/>
  <c r="N34" i="3"/>
  <c r="D44" i="3" s="1"/>
  <c r="O34" i="3"/>
  <c r="D108" i="3" s="1"/>
  <c r="H108" i="3" s="1"/>
  <c r="N36" i="3"/>
  <c r="D46" i="3" s="1"/>
  <c r="O36" i="3"/>
  <c r="D110" i="3" s="1"/>
  <c r="N38" i="3"/>
  <c r="D48" i="3" s="1"/>
  <c r="O38" i="3"/>
  <c r="D112" i="3" s="1"/>
  <c r="N39" i="3"/>
  <c r="D49" i="3" s="1"/>
  <c r="O39" i="3"/>
  <c r="D113" i="3" s="1"/>
  <c r="H113" i="3" s="1"/>
  <c r="N40" i="3"/>
  <c r="D50" i="3" s="1"/>
  <c r="O40" i="3"/>
  <c r="D114" i="3" s="1"/>
  <c r="H114" i="3" s="1"/>
  <c r="N41" i="3"/>
  <c r="D51" i="3" s="1"/>
  <c r="O41" i="3"/>
  <c r="D115" i="3" s="1"/>
  <c r="H115" i="3" s="1"/>
  <c r="N42" i="3"/>
  <c r="D52" i="3" s="1"/>
  <c r="O42" i="3"/>
  <c r="D116" i="3" s="1"/>
  <c r="H116" i="3" s="1"/>
  <c r="N43" i="3"/>
  <c r="D53" i="3" s="1"/>
  <c r="O43" i="3"/>
  <c r="D117" i="3" s="1"/>
  <c r="H117" i="3" s="1"/>
  <c r="N44" i="3"/>
  <c r="D54" i="3" s="1"/>
  <c r="O44" i="3"/>
  <c r="D118" i="3" s="1"/>
  <c r="H118" i="3" s="1"/>
  <c r="N45" i="3"/>
  <c r="D55" i="3" s="1"/>
  <c r="O45" i="3"/>
  <c r="D119" i="3" s="1"/>
  <c r="H119" i="3" s="1"/>
  <c r="N47" i="3"/>
  <c r="D57" i="3" s="1"/>
  <c r="O47" i="3"/>
  <c r="D121" i="3" s="1"/>
  <c r="N48" i="3"/>
  <c r="D58" i="3" s="1"/>
  <c r="O48" i="3"/>
  <c r="D122" i="3" s="1"/>
  <c r="H122" i="3" s="1"/>
  <c r="N49" i="3"/>
  <c r="D59" i="3" s="1"/>
  <c r="O49" i="3"/>
  <c r="D123" i="3" s="1"/>
  <c r="H123" i="3" s="1"/>
  <c r="N50" i="3"/>
  <c r="D60" i="3" s="1"/>
  <c r="O50" i="3"/>
  <c r="D124" i="3" s="1"/>
  <c r="H124" i="3" s="1"/>
  <c r="N51" i="3"/>
  <c r="D62" i="3" s="1"/>
  <c r="O51" i="3"/>
  <c r="D126" i="3" s="1"/>
  <c r="H126" i="3" s="1"/>
  <c r="N52" i="3"/>
  <c r="D63" i="3" s="1"/>
  <c r="O52" i="3"/>
  <c r="D127" i="3" s="1"/>
  <c r="H127" i="3" s="1"/>
  <c r="N53" i="3"/>
  <c r="D64" i="3" s="1"/>
  <c r="O53" i="3"/>
  <c r="D128" i="3" s="1"/>
  <c r="H128" i="3" s="1"/>
  <c r="N55" i="3"/>
  <c r="D66" i="3" s="1"/>
  <c r="O55" i="3"/>
  <c r="D130" i="3" s="1"/>
  <c r="N56" i="3"/>
  <c r="D67" i="3" s="1"/>
  <c r="O56" i="3"/>
  <c r="D131" i="3" s="1"/>
  <c r="H131" i="3" s="1"/>
  <c r="N57" i="3"/>
  <c r="D68" i="3" s="1"/>
  <c r="O57" i="3"/>
  <c r="D132" i="3" s="1"/>
  <c r="H132" i="3" s="1"/>
  <c r="N58" i="3"/>
  <c r="D69" i="3" s="1"/>
  <c r="O58" i="3"/>
  <c r="D133" i="3" s="1"/>
  <c r="H133" i="3" s="1"/>
  <c r="N59" i="3"/>
  <c r="D70" i="3" s="1"/>
  <c r="O59" i="3"/>
  <c r="D134" i="3" s="1"/>
  <c r="H134" i="3" s="1"/>
  <c r="N60" i="3"/>
  <c r="D71" i="3" s="1"/>
  <c r="O60" i="3"/>
  <c r="D135" i="3" s="1"/>
  <c r="H135" i="3" s="1"/>
  <c r="N61" i="3"/>
  <c r="D72" i="3" s="1"/>
  <c r="O61" i="3"/>
  <c r="D136" i="3" s="1"/>
  <c r="H136" i="3" s="1"/>
  <c r="F21" i="1"/>
  <c r="E21" i="1"/>
  <c r="J21" i="1" s="1"/>
  <c r="D15" i="5"/>
  <c r="F13" i="5"/>
  <c r="E13" i="5"/>
  <c r="D13" i="5"/>
  <c r="B34" i="2"/>
  <c r="B31" i="2"/>
  <c r="B37" i="2"/>
  <c r="A31" i="2"/>
  <c r="P33" i="2"/>
  <c r="P36" i="2"/>
  <c r="P39" i="2"/>
  <c r="B26" i="7"/>
  <c r="B27" i="7"/>
  <c r="B28" i="7"/>
  <c r="B23" i="7"/>
  <c r="A26" i="7"/>
  <c r="P40" i="2" l="1"/>
  <c r="D168" i="3"/>
  <c r="H130" i="3"/>
  <c r="H129" i="3" s="1"/>
  <c r="D129" i="3"/>
  <c r="D120" i="3"/>
  <c r="H121" i="3"/>
  <c r="H120" i="3" s="1"/>
  <c r="H112" i="3"/>
  <c r="H111" i="3" s="1"/>
  <c r="D111" i="3"/>
  <c r="H110" i="3"/>
  <c r="H109" i="3" s="1"/>
  <c r="D109" i="3"/>
  <c r="H107" i="3"/>
  <c r="H104" i="3" s="1"/>
  <c r="D104" i="3"/>
  <c r="H21" i="1"/>
  <c r="D82" i="3"/>
  <c r="H86" i="3"/>
  <c r="H82" i="3" s="1"/>
  <c r="G15" i="5"/>
  <c r="G13" i="5"/>
  <c r="D21" i="1"/>
  <c r="I21" i="1" s="1"/>
  <c r="F19" i="1"/>
  <c r="K19" i="1" s="1"/>
  <c r="F15" i="5"/>
  <c r="E19" i="1"/>
  <c r="J19" i="1" s="1"/>
  <c r="E15" i="5"/>
  <c r="D19" i="1"/>
  <c r="I19" i="1" s="1"/>
  <c r="L23" i="12"/>
  <c r="D78" i="3" s="1"/>
  <c r="D80" i="3" s="1"/>
  <c r="H80" i="3" s="1"/>
  <c r="L21" i="1"/>
  <c r="K21" i="1"/>
  <c r="H19" i="1"/>
  <c r="L19" i="1"/>
  <c r="F40" i="2"/>
  <c r="D40" i="2"/>
  <c r="E40" i="2"/>
  <c r="A23" i="7"/>
  <c r="I82" i="3" l="1"/>
  <c r="D103" i="3"/>
  <c r="H103" i="3"/>
  <c r="J138" i="3"/>
  <c r="H78" i="3"/>
  <c r="H77" i="3" s="1"/>
  <c r="H76" i="3" s="1"/>
  <c r="D77" i="3"/>
  <c r="D76" i="3" s="1"/>
  <c r="J40" i="2"/>
  <c r="N36" i="2"/>
  <c r="B11" i="2" s="1"/>
  <c r="J31" i="12"/>
  <c r="K31" i="12" s="1"/>
  <c r="J32" i="12"/>
  <c r="K32" i="12" s="1"/>
  <c r="J33" i="12"/>
  <c r="K33" i="12" s="1"/>
  <c r="G202" i="3"/>
  <c r="G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G194" i="3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H186" i="3" s="1"/>
  <c r="G185" i="3"/>
  <c r="G183" i="3"/>
  <c r="H183" i="3" s="1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4" i="3"/>
  <c r="G173" i="3" s="1"/>
  <c r="G172" i="3"/>
  <c r="H172" i="3" s="1"/>
  <c r="G171" i="3"/>
  <c r="H171" i="3" s="1"/>
  <c r="G170" i="3"/>
  <c r="H170" i="3" s="1"/>
  <c r="G169" i="3"/>
  <c r="H169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D146" i="3"/>
  <c r="G145" i="3"/>
  <c r="H145" i="3" s="1"/>
  <c r="G144" i="3"/>
  <c r="H144" i="3" s="1"/>
  <c r="G143" i="3"/>
  <c r="H143" i="3" s="1"/>
  <c r="G142" i="3"/>
  <c r="G74" i="3"/>
  <c r="G73" i="3" s="1"/>
  <c r="D73" i="3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D65" i="3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D56" i="3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D47" i="3"/>
  <c r="G46" i="3"/>
  <c r="G45" i="3" s="1"/>
  <c r="D45" i="3"/>
  <c r="G44" i="3"/>
  <c r="H44" i="3" s="1"/>
  <c r="G43" i="3"/>
  <c r="H43" i="3" s="1"/>
  <c r="G42" i="3"/>
  <c r="H42" i="3" s="1"/>
  <c r="G41" i="3"/>
  <c r="H41" i="3" s="1"/>
  <c r="D40" i="3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D18" i="3"/>
  <c r="G17" i="3"/>
  <c r="H17" i="3" s="1"/>
  <c r="G16" i="3"/>
  <c r="G15" i="3"/>
  <c r="H15" i="3" s="1"/>
  <c r="G14" i="3"/>
  <c r="D139" i="3" l="1"/>
  <c r="H139" i="3"/>
  <c r="D39" i="3"/>
  <c r="I40" i="2"/>
  <c r="N39" i="2"/>
  <c r="H40" i="2"/>
  <c r="G193" i="3"/>
  <c r="G13" i="3"/>
  <c r="G40" i="3"/>
  <c r="G141" i="3"/>
  <c r="G168" i="3"/>
  <c r="G175" i="3"/>
  <c r="G146" i="3"/>
  <c r="G18" i="3"/>
  <c r="G56" i="3"/>
  <c r="G65" i="3"/>
  <c r="G184" i="3"/>
  <c r="K40" i="2"/>
  <c r="O36" i="2"/>
  <c r="L40" i="2"/>
  <c r="L31" i="12"/>
  <c r="D142" i="3" s="1"/>
  <c r="H142" i="3" s="1"/>
  <c r="H141" i="3" s="1"/>
  <c r="F11" i="2" s="1"/>
  <c r="H168" i="3"/>
  <c r="H175" i="3"/>
  <c r="H194" i="3"/>
  <c r="H193" i="3" s="1"/>
  <c r="H147" i="3"/>
  <c r="H146" i="3" s="1"/>
  <c r="H174" i="3"/>
  <c r="H173" i="3" s="1"/>
  <c r="H185" i="3"/>
  <c r="H184" i="3" s="1"/>
  <c r="H202" i="3"/>
  <c r="H201" i="3" s="1"/>
  <c r="H47" i="3"/>
  <c r="H40" i="3"/>
  <c r="G47" i="3"/>
  <c r="H66" i="3"/>
  <c r="H19" i="3"/>
  <c r="H18" i="3" s="1"/>
  <c r="H46" i="3"/>
  <c r="H45" i="3" s="1"/>
  <c r="H57" i="3"/>
  <c r="H56" i="3" s="1"/>
  <c r="H74" i="3"/>
  <c r="H73" i="3" s="1"/>
  <c r="I18" i="3" l="1"/>
  <c r="J139" i="3"/>
  <c r="F10" i="2"/>
  <c r="G39" i="3"/>
  <c r="D141" i="3"/>
  <c r="D140" i="3" s="1"/>
  <c r="D203" i="3" s="1"/>
  <c r="O39" i="2"/>
  <c r="Q39" i="2" s="1"/>
  <c r="Q36" i="2"/>
  <c r="C11" i="2"/>
  <c r="E11" i="2" s="1"/>
  <c r="M40" i="2"/>
  <c r="J202" i="3"/>
  <c r="G167" i="3"/>
  <c r="G12" i="3"/>
  <c r="H140" i="3"/>
  <c r="G140" i="3"/>
  <c r="G40" i="2"/>
  <c r="N33" i="2"/>
  <c r="O33" i="2"/>
  <c r="H65" i="3"/>
  <c r="H39" i="3" s="1"/>
  <c r="J74" i="3"/>
  <c r="H167" i="3"/>
  <c r="G203" i="3" l="1"/>
  <c r="O40" i="2"/>
  <c r="C10" i="2"/>
  <c r="N40" i="2"/>
  <c r="B10" i="2"/>
  <c r="G75" i="3"/>
  <c r="J206" i="3"/>
  <c r="H203" i="3"/>
  <c r="Q33" i="2"/>
  <c r="Q40" i="2" s="1"/>
  <c r="E10" i="2" l="1"/>
  <c r="J203" i="3"/>
  <c r="E204" i="3" l="1"/>
  <c r="F204" i="3"/>
  <c r="G204" i="3"/>
  <c r="J25" i="2" l="1"/>
  <c r="K25" i="2"/>
  <c r="L25" i="2"/>
  <c r="M25" i="2"/>
  <c r="I25" i="2"/>
  <c r="Q17" i="1"/>
  <c r="B17" i="1"/>
  <c r="R11" i="5"/>
  <c r="H11" i="5"/>
  <c r="I11" i="5"/>
  <c r="J11" i="5"/>
  <c r="K11" i="5"/>
  <c r="L11" i="5"/>
  <c r="B11" i="5"/>
  <c r="P24" i="2"/>
  <c r="M13" i="7"/>
  <c r="C11" i="5" s="1"/>
  <c r="L13" i="7"/>
  <c r="Q13" i="7" s="1"/>
  <c r="M24" i="2" s="1"/>
  <c r="K13" i="7"/>
  <c r="P13" i="7" s="1"/>
  <c r="L24" i="2" s="1"/>
  <c r="J13" i="7"/>
  <c r="O13" i="7" s="1"/>
  <c r="E11" i="5" s="1"/>
  <c r="O11" i="5" s="1"/>
  <c r="I13" i="7"/>
  <c r="M11" i="5" l="1"/>
  <c r="N13" i="7"/>
  <c r="D17" i="1" s="1"/>
  <c r="I17" i="1" s="1"/>
  <c r="U11" i="5"/>
  <c r="I24" i="2"/>
  <c r="T11" i="5"/>
  <c r="E17" i="1"/>
  <c r="J17" i="1" s="1"/>
  <c r="K24" i="2"/>
  <c r="S11" i="5"/>
  <c r="C17" i="1"/>
  <c r="H17" i="1" s="1"/>
  <c r="V11" i="5"/>
  <c r="G11" i="5"/>
  <c r="Q11" i="5" s="1"/>
  <c r="G17" i="1"/>
  <c r="L17" i="1" s="1"/>
  <c r="F11" i="5"/>
  <c r="P11" i="5" s="1"/>
  <c r="F17" i="1"/>
  <c r="K17" i="1" s="1"/>
  <c r="B24" i="7"/>
  <c r="B25" i="7"/>
  <c r="D11" i="5" l="1"/>
  <c r="N11" i="5" s="1"/>
  <c r="J24" i="2"/>
  <c r="E24" i="2" s="1"/>
  <c r="P26" i="2"/>
  <c r="M26" i="2"/>
  <c r="K26" i="2"/>
  <c r="I26" i="2"/>
  <c r="L26" i="2"/>
  <c r="G25" i="2"/>
  <c r="E25" i="2"/>
  <c r="H24" i="2"/>
  <c r="F24" i="2"/>
  <c r="D24" i="2"/>
  <c r="E26" i="2" l="1"/>
  <c r="J26" i="2"/>
  <c r="O26" i="2" s="1"/>
  <c r="G24" i="2"/>
  <c r="G26" i="2" s="1"/>
  <c r="F25" i="2"/>
  <c r="F26" i="2" s="1"/>
  <c r="D25" i="2"/>
  <c r="D26" i="2" s="1"/>
  <c r="H25" i="2"/>
  <c r="H26" i="2" s="1"/>
  <c r="N26" i="2" l="1"/>
  <c r="Q26" i="2" s="1"/>
  <c r="I12" i="7" l="1"/>
  <c r="N12" i="7" s="1"/>
  <c r="M12" i="7" l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2" i="5"/>
  <c r="R10" i="5"/>
  <c r="H12" i="5"/>
  <c r="I12" i="5"/>
  <c r="J12" i="5"/>
  <c r="K12" i="5"/>
  <c r="L12" i="5"/>
  <c r="J10" i="5"/>
  <c r="K10" i="5"/>
  <c r="L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K6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J19" i="12"/>
  <c r="K19" i="12" s="1"/>
  <c r="J20" i="12"/>
  <c r="K20" i="12" s="1"/>
  <c r="J21" i="12"/>
  <c r="K21" i="12" s="1"/>
  <c r="J22" i="12"/>
  <c r="K22" i="12" s="1"/>
  <c r="J18" i="12"/>
  <c r="K18" i="12" s="1"/>
  <c r="I22" i="2"/>
  <c r="R62" i="13" l="1"/>
  <c r="P62" i="13"/>
  <c r="N62" i="13"/>
  <c r="W80" i="13"/>
  <c r="Q62" i="13" l="1"/>
  <c r="AD15" i="13" s="1"/>
  <c r="AK15" i="13" s="1"/>
  <c r="AL15" i="13" s="1"/>
  <c r="AE15" i="13"/>
  <c r="O62" i="13"/>
  <c r="AB15" i="13" s="1"/>
  <c r="AI15" i="13" s="1"/>
  <c r="AJ15" i="13" s="1"/>
  <c r="AC15" i="13"/>
  <c r="M62" i="13"/>
  <c r="Z15" i="13" s="1"/>
  <c r="AG15" i="13" s="1"/>
  <c r="AH15" i="13" s="1"/>
  <c r="AA15" i="13"/>
  <c r="M14" i="7"/>
  <c r="I21" i="2"/>
  <c r="AP15" i="13" l="1"/>
  <c r="AN15" i="13"/>
  <c r="AR15" i="13"/>
  <c r="C12" i="5"/>
  <c r="M12" i="5" s="1"/>
  <c r="C18" i="1"/>
  <c r="D16" i="1"/>
  <c r="I16" i="1" s="1"/>
  <c r="S10" i="5"/>
  <c r="L14" i="7"/>
  <c r="K14" i="7"/>
  <c r="J14" i="7"/>
  <c r="O14" i="7" s="1"/>
  <c r="I14" i="7"/>
  <c r="N14" i="7" s="1"/>
  <c r="L12" i="7"/>
  <c r="Q12" i="7" s="1"/>
  <c r="K12" i="7"/>
  <c r="P12" i="7" s="1"/>
  <c r="F16" i="1" l="1"/>
  <c r="K16" i="1" s="1"/>
  <c r="U10" i="5"/>
  <c r="G16" i="1"/>
  <c r="L16" i="1" s="1"/>
  <c r="V10" i="5"/>
  <c r="U12" i="5"/>
  <c r="P14" i="7"/>
  <c r="V12" i="5"/>
  <c r="Q14" i="7"/>
  <c r="S12" i="5"/>
  <c r="T12" i="5"/>
  <c r="P21" i="2"/>
  <c r="E12" i="5" l="1"/>
  <c r="O12" i="5" s="1"/>
  <c r="E18" i="1"/>
  <c r="G12" i="5"/>
  <c r="Q12" i="5" s="1"/>
  <c r="G18" i="1"/>
  <c r="D12" i="5"/>
  <c r="N12" i="5" s="1"/>
  <c r="D18" i="1"/>
  <c r="F12" i="5"/>
  <c r="P12" i="5" s="1"/>
  <c r="F18" i="1"/>
  <c r="L21" i="2"/>
  <c r="P27" i="2"/>
  <c r="P29" i="2" s="1"/>
  <c r="P23" i="2" l="1"/>
  <c r="P30" i="2" l="1"/>
  <c r="P41" i="2" s="1"/>
  <c r="K28" i="2"/>
  <c r="F28" i="2" s="1"/>
  <c r="K22" i="2"/>
  <c r="F22" i="2" s="1"/>
  <c r="J12" i="7"/>
  <c r="O12" i="7" s="1"/>
  <c r="T10" i="5" l="1"/>
  <c r="K21" i="2"/>
  <c r="E16" i="1" l="1"/>
  <c r="J16" i="1" s="1"/>
  <c r="E10" i="5"/>
  <c r="O10" i="5" s="1"/>
  <c r="F21" i="2"/>
  <c r="F23" i="2" s="1"/>
  <c r="K23" i="2"/>
  <c r="K27" i="2" l="1"/>
  <c r="D9" i="2"/>
  <c r="D12" i="2" s="1"/>
  <c r="F27" i="2" l="1"/>
  <c r="F29" i="2" s="1"/>
  <c r="F30" i="2" s="1"/>
  <c r="F41" i="2" s="1"/>
  <c r="K29" i="2"/>
  <c r="K30" i="2" s="1"/>
  <c r="K41" i="2" s="1"/>
  <c r="E4" i="12"/>
  <c r="B11" i="12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L11" i="12" l="1"/>
  <c r="L37" i="12" l="1"/>
  <c r="D14" i="3"/>
  <c r="D16" i="3" s="1"/>
  <c r="H16" i="3" s="1"/>
  <c r="C16" i="1"/>
  <c r="H16" i="1" s="1"/>
  <c r="H14" i="3" l="1"/>
  <c r="H13" i="3" s="1"/>
  <c r="H12" i="3" s="1"/>
  <c r="H75" i="3" s="1"/>
  <c r="D13" i="3"/>
  <c r="D12" i="3" s="1"/>
  <c r="J28" i="2"/>
  <c r="E28" i="2" s="1"/>
  <c r="L28" i="2"/>
  <c r="M28" i="2"/>
  <c r="I28" i="2"/>
  <c r="I27" i="2"/>
  <c r="D27" i="2" s="1"/>
  <c r="J22" i="2"/>
  <c r="E22" i="2" s="1"/>
  <c r="L22" i="2"/>
  <c r="G22" i="2" s="1"/>
  <c r="M22" i="2"/>
  <c r="D22" i="2"/>
  <c r="B27" i="2"/>
  <c r="B21" i="2"/>
  <c r="I10" i="5"/>
  <c r="H10" i="5"/>
  <c r="B12" i="5"/>
  <c r="B18" i="1"/>
  <c r="B16" i="1"/>
  <c r="M27" i="2"/>
  <c r="H27" i="2" s="1"/>
  <c r="M21" i="2"/>
  <c r="H21" i="2" s="1"/>
  <c r="D21" i="2"/>
  <c r="A16" i="1"/>
  <c r="C8" i="2"/>
  <c r="B8" i="2"/>
  <c r="J75" i="3" l="1"/>
  <c r="J207" i="3" s="1"/>
  <c r="H204" i="3"/>
  <c r="D23" i="2"/>
  <c r="H22" i="2"/>
  <c r="M23" i="2"/>
  <c r="D28" i="2"/>
  <c r="I29" i="2"/>
  <c r="H28" i="2"/>
  <c r="M29" i="2"/>
  <c r="G28" i="2"/>
  <c r="I23" i="2"/>
  <c r="G21" i="2"/>
  <c r="L23" i="2"/>
  <c r="L27" i="2"/>
  <c r="L29" i="2" s="1"/>
  <c r="F10" i="5"/>
  <c r="P10" i="5" s="1"/>
  <c r="C10" i="5"/>
  <c r="M10" i="5" s="1"/>
  <c r="G10" i="5"/>
  <c r="Q10" i="5" s="1"/>
  <c r="M30" i="2" l="1"/>
  <c r="M41" i="2" s="1"/>
  <c r="L30" i="2"/>
  <c r="L41" i="2" s="1"/>
  <c r="I30" i="2"/>
  <c r="I41" i="2" s="1"/>
  <c r="G27" i="2"/>
  <c r="I4" i="9" l="1"/>
  <c r="Q18" i="1" l="1"/>
  <c r="H18" i="1" l="1"/>
  <c r="I18" i="1"/>
  <c r="J18" i="1"/>
  <c r="K18" i="1"/>
  <c r="L18" i="1"/>
  <c r="G4" i="5"/>
  <c r="D4" i="1"/>
  <c r="B10" i="5" l="1"/>
  <c r="A10" i="5"/>
  <c r="A21" i="2" l="1"/>
  <c r="A9" i="2"/>
  <c r="A12" i="3"/>
  <c r="A9" i="5" l="1"/>
  <c r="B9" i="5"/>
  <c r="G23" i="2" l="1"/>
  <c r="H23" i="2"/>
  <c r="G29" i="2"/>
  <c r="D29" i="2"/>
  <c r="H29" i="2"/>
  <c r="H30" i="2" l="1"/>
  <c r="H41" i="2" s="1"/>
  <c r="G30" i="2"/>
  <c r="G41" i="2" s="1"/>
  <c r="D30" i="2"/>
  <c r="D41" i="2" s="1"/>
  <c r="F9" i="2" l="1"/>
  <c r="F12" i="2" s="1"/>
  <c r="J27" i="2" l="1"/>
  <c r="G10" i="2" l="1"/>
  <c r="G11" i="2"/>
  <c r="G9" i="2"/>
  <c r="J29" i="2"/>
  <c r="E27" i="2"/>
  <c r="E29" i="2" s="1"/>
  <c r="H11" i="2" l="1"/>
  <c r="I11" i="2" s="1"/>
  <c r="H10" i="2"/>
  <c r="H9" i="2"/>
  <c r="G12" i="2"/>
  <c r="L11" i="2" s="1"/>
  <c r="N29" i="2"/>
  <c r="O29" i="2"/>
  <c r="L10" i="2" l="1"/>
  <c r="H12" i="2"/>
  <c r="L9" i="2"/>
  <c r="Q29" i="2"/>
  <c r="L12" i="2" l="1"/>
  <c r="D10" i="5"/>
  <c r="N10" i="5" s="1"/>
  <c r="J21" i="2"/>
  <c r="J23" i="2" s="1"/>
  <c r="J30" i="2" s="1"/>
  <c r="J41" i="2" s="1"/>
  <c r="E21" i="2" l="1"/>
  <c r="E23" i="2" s="1"/>
  <c r="E30" i="2" s="1"/>
  <c r="E41" i="2" s="1"/>
  <c r="O23" i="2"/>
  <c r="O30" i="2" s="1"/>
  <c r="O41" i="2" s="1"/>
  <c r="N23" i="2" l="1"/>
  <c r="N30" i="2" l="1"/>
  <c r="N41" i="2" s="1"/>
  <c r="C9" i="2"/>
  <c r="C12" i="2" s="1"/>
  <c r="Q23" i="2"/>
  <c r="I10" i="2" l="1"/>
  <c r="Q30" i="2"/>
  <c r="Q41" i="2" s="1"/>
  <c r="B9" i="2"/>
  <c r="B12" i="2" l="1"/>
  <c r="E9" i="2"/>
  <c r="E12" i="2" s="1"/>
  <c r="I9" i="2" l="1"/>
  <c r="I12" i="2" s="1"/>
  <c r="D75" i="3"/>
  <c r="D204" i="3" s="1"/>
</calcChain>
</file>

<file path=xl/sharedStrings.xml><?xml version="1.0" encoding="utf-8"?>
<sst xmlns="http://schemas.openxmlformats.org/spreadsheetml/2006/main" count="943" uniqueCount="393">
  <si>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</si>
  <si>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</si>
  <si>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</si>
  <si>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</si>
  <si>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</si>
  <si>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</si>
  <si>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</si>
  <si>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</si>
  <si>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</si>
  <si>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</si>
  <si>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</si>
  <si>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</si>
  <si>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</si>
  <si>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</si>
  <si>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</si>
  <si>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</si>
  <si>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</si>
  <si>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</si>
  <si>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</si>
  <si>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</si>
  <si>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</si>
  <si>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</si>
  <si>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</si>
  <si>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</si>
  <si>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</si>
  <si>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</si>
  <si>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</si>
  <si>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</si>
  <si>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</si>
  <si>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</si>
  <si>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</si>
  <si>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</si>
  <si>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</si>
  <si>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</si>
  <si>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</si>
  <si>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</si>
  <si>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</si>
  <si>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</si>
  <si>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</si>
  <si>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</si>
  <si>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</si>
  <si>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</si>
  <si>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</si>
  <si>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</si>
  <si>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</si>
  <si>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</si>
  <si>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</si>
  <si>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</si>
  <si>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</si>
  <si>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</si>
  <si>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</si>
  <si>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</si>
  <si>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</si>
  <si>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</si>
  <si>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</si>
  <si>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</si>
  <si>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</si>
  <si>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</si>
  <si>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</si>
  <si>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</si>
  <si>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</si>
  <si>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</si>
  <si>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</si>
  <si>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</si>
  <si>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</si>
  <si>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</si>
  <si>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</si>
  <si>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</si>
  <si>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</si>
  <si>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</si>
  <si>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</si>
  <si>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</si>
  <si>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</si>
  <si>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</si>
  <si>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</si>
  <si>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</si>
  <si>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</si>
  <si>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</si>
  <si>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</si>
  <si>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</si>
  <si>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</si>
  <si>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</si>
  <si>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</si>
  <si>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</si>
  <si>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</si>
  <si>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</si>
  <si>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</si>
  <si>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</si>
  <si>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</si>
  <si>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</si>
  <si>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</si>
  <si>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</si>
  <si>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</si>
  <si>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</si>
  <si>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</si>
  <si>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</si>
  <si>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</si>
  <si>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</si>
  <si>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</si>
  <si>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</si>
  <si>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</si>
  <si>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</si>
  <si>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</si>
  <si>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</si>
  <si>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</si>
  <si>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</si>
  <si>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</si>
  <si>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</si>
  <si>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</si>
  <si>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</si>
  <si>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</si>
  <si>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</si>
  <si>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</si>
  <si>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</si>
  <si>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</si>
  <si>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</si>
  <si>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</si>
  <si>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</si>
  <si>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</si>
  <si>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</si>
  <si>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</si>
  <si>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</si>
  <si>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</si>
  <si>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</si>
  <si>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</si>
  <si>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</si>
  <si>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</si>
  <si>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</si>
  <si>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</si>
  <si>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</si>
  <si>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</si>
  <si>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</si>
  <si>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</si>
  <si>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SERVICIO DE SUSCRIPCION</t>
  </si>
  <si>
    <t>EQUIPOS COMPUTACIONALES</t>
  </si>
  <si>
    <t>Total Meta Ocupación</t>
  </si>
  <si>
    <t>Jardines Infantiles</t>
  </si>
  <si>
    <t xml:space="preserve">Ej. Ed. De Párvulos </t>
  </si>
  <si>
    <t>Ej: Técnicos</t>
  </si>
  <si>
    <t>PDI</t>
  </si>
  <si>
    <t>GENDARMERIA</t>
  </si>
  <si>
    <t>Mensualidad 2020</t>
  </si>
  <si>
    <t>ÁREA APOYO A. EDUCACIONAL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</si>
  <si>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</si>
  <si>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</si>
  <si>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</si>
  <si>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</si>
  <si>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</si>
  <si>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</si>
  <si>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</si>
  <si>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</si>
  <si>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</si>
  <si>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</si>
  <si>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</si>
  <si>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</si>
  <si>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</si>
  <si>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</si>
  <si>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</si>
  <si>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</si>
  <si>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</si>
  <si>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</si>
  <si>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</si>
  <si>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</si>
  <si>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</si>
  <si>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</si>
  <si>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</si>
  <si>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</si>
  <si>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</si>
  <si>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</si>
  <si>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</si>
  <si>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</si>
  <si>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</si>
  <si>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</si>
  <si>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</si>
  <si>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</si>
  <si>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</si>
  <si>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</si>
  <si>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</si>
  <si>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</si>
  <si>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</si>
  <si>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</si>
  <si>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</si>
  <si>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</si>
  <si>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</si>
  <si>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</si>
  <si>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</si>
  <si>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</si>
  <si>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</si>
  <si>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</si>
  <si>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</si>
  <si>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</si>
  <si>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</si>
  <si>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</si>
  <si>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</si>
  <si>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</si>
  <si>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</si>
  <si>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</si>
  <si>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</si>
  <si>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</si>
  <si>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</si>
  <si>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</si>
  <si>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</si>
  <si>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</si>
  <si>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</si>
  <si>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</si>
  <si>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</si>
  <si>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</si>
  <si>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</si>
  <si>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</si>
  <si>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</si>
  <si>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</si>
  <si>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Media jornada Extendida</t>
  </si>
  <si>
    <t>Jornada Completa</t>
  </si>
  <si>
    <t>TABLA 9: RESUMEN DISTRIBUCION COSTOS REMUNERACIONES ADMINISTRACION CENTRAL</t>
  </si>
  <si>
    <t>Jardín Infantil Olitas de Mar</t>
  </si>
  <si>
    <t xml:space="preserve">C) ESTIMACION DE COSTOS DIRECTOS </t>
  </si>
  <si>
    <t>PRODUCTOS QUIMICOS (EXTINTOR)</t>
  </si>
  <si>
    <t>PROD.QUIMIC,FARMACEUTICOS IND. (BOTIQUIN)</t>
  </si>
  <si>
    <t>OTROS MANTEN. Y REP.MENORES</t>
  </si>
  <si>
    <t>CUOTA DE PADRES</t>
  </si>
  <si>
    <t>AFL</t>
  </si>
  <si>
    <t>PAF</t>
  </si>
  <si>
    <t>TOTAL AFL</t>
  </si>
  <si>
    <t>TOTAL PAF</t>
  </si>
  <si>
    <t>REMUNERACIONES 2020</t>
  </si>
  <si>
    <t>Gasto Total Empresa</t>
  </si>
  <si>
    <t>Costo Total anual por Servidor 2020</t>
  </si>
  <si>
    <t>Costo Total por Servidor Reajustado 2021</t>
  </si>
  <si>
    <t xml:space="preserve"> Sala Cuna Olitas de Mar</t>
  </si>
  <si>
    <t>Sala Cuna Olitas de Mar</t>
  </si>
  <si>
    <t>Media Jornada</t>
  </si>
  <si>
    <t>Nocturna</t>
  </si>
  <si>
    <t>Diurna</t>
  </si>
  <si>
    <t>Meta Ocupación niños 2021</t>
  </si>
  <si>
    <t>Mensualidad 2021</t>
  </si>
  <si>
    <t>Propuesta Mensualidad 2021</t>
  </si>
  <si>
    <t>Sala Cuna Olitas de Mar Diurna</t>
  </si>
  <si>
    <t>Sala Cuna Olitas de Mar Nocturna</t>
  </si>
  <si>
    <t>Tarifa 2021</t>
  </si>
  <si>
    <t>Matrícula 2021</t>
  </si>
  <si>
    <t>TOTAL</t>
  </si>
  <si>
    <t xml:space="preserve"> COSTOS DIRECTOS COMUNES  "JARDIN INFANTIL Y SALA CUNA OLITAS DE MAR"</t>
  </si>
  <si>
    <t>JI (80%)</t>
  </si>
  <si>
    <t>SC (20%)</t>
  </si>
  <si>
    <t>COSTO INDIRECTO ESTIMADO 2021</t>
  </si>
  <si>
    <t>COSTO DIRECTO ESTIMADO 2021</t>
  </si>
  <si>
    <t>LISSETTE ANDREA</t>
  </si>
  <si>
    <t>JACQUELINE DEL CARME</t>
  </si>
  <si>
    <t>FERNÁNDEZ MARÍA JOSÉ</t>
  </si>
  <si>
    <t xml:space="preserve">MALDONADO </t>
  </si>
  <si>
    <t>FRANCISCA SCARLET</t>
  </si>
  <si>
    <t xml:space="preserve">LILLO PARDO </t>
  </si>
  <si>
    <t xml:space="preserve">FUENTES </t>
  </si>
  <si>
    <t xml:space="preserve">JELDRES </t>
  </si>
  <si>
    <t>XIMENA EULALIA</t>
  </si>
  <si>
    <t xml:space="preserve">ABARCA </t>
  </si>
  <si>
    <t>Técnico en Párvulos</t>
  </si>
  <si>
    <t>Manipuladora Alimentos</t>
  </si>
  <si>
    <t>Educadora Párvulos</t>
  </si>
  <si>
    <t>Rendición de Cuenta y Deudores</t>
  </si>
  <si>
    <t>Encargado Contabilidad</t>
  </si>
  <si>
    <t>Encargado Activo Fijo</t>
  </si>
  <si>
    <t>Encargada Recursos Humanos</t>
  </si>
  <si>
    <t>Directora</t>
  </si>
  <si>
    <t>EE.CC. XIMENA</t>
  </si>
  <si>
    <t>MUÑOZ</t>
  </si>
  <si>
    <t>EE.CC. MARÍA JOSÉ</t>
  </si>
  <si>
    <t>LENIZ</t>
  </si>
  <si>
    <t>PAC. CONSTANZA</t>
  </si>
  <si>
    <t>ALARCON</t>
  </si>
  <si>
    <t>PAC. CLAUDIA</t>
  </si>
  <si>
    <t>VARGAS</t>
  </si>
  <si>
    <t>TT.</t>
  </si>
  <si>
    <t xml:space="preserve">TT. SOLANGE </t>
  </si>
  <si>
    <t>MORALES</t>
  </si>
  <si>
    <t xml:space="preserve">TT. MARIA TERESA </t>
  </si>
  <si>
    <t>MIÑO</t>
  </si>
  <si>
    <t>Reyes</t>
  </si>
  <si>
    <t>Quiroz</t>
  </si>
  <si>
    <t>Pulgar</t>
  </si>
  <si>
    <t>Torres</t>
  </si>
  <si>
    <t>Bueno</t>
  </si>
  <si>
    <t xml:space="preserve">Jorge </t>
  </si>
  <si>
    <t>Macarena</t>
  </si>
  <si>
    <t>Pablo</t>
  </si>
  <si>
    <t>Sergio</t>
  </si>
  <si>
    <t>Adela</t>
  </si>
  <si>
    <t>Fuentes</t>
  </si>
  <si>
    <t>Myriam</t>
  </si>
  <si>
    <t>Edilia</t>
  </si>
  <si>
    <t>Sebastián</t>
  </si>
  <si>
    <t>Flores</t>
  </si>
  <si>
    <t>Vidal</t>
  </si>
  <si>
    <t>Vásquez</t>
  </si>
  <si>
    <t>HOJA C</t>
  </si>
  <si>
    <t>COSTOS INDIRECTOS</t>
  </si>
  <si>
    <t>REMUNERACIONES</t>
  </si>
  <si>
    <t>JJ.II. OLITAS DE MAR</t>
  </si>
  <si>
    <t xml:space="preserve">Medio Menor  </t>
  </si>
  <si>
    <t>(15 niños)</t>
  </si>
  <si>
    <t>Medio Mayor</t>
  </si>
  <si>
    <t>PreKinder + Kinder</t>
  </si>
  <si>
    <t>SC OLITAS DE MAR</t>
  </si>
  <si>
    <t>(07 minimo máximo 10 niños)</t>
  </si>
  <si>
    <t xml:space="preserve">EE.PP. 18.712 imponente CAPREDENA: Sra. Jacqueline Jeldres Técnico en Párvulos ha hecho presenten sus intenciones de renunciar desde el año pasado. A la fecha, no ha se ha concretado respecto al costo asociado éste será sólo vacaciones pendientes y/o proporcionales.   </t>
  </si>
  <si>
    <t>HOJA H</t>
  </si>
  <si>
    <t>GRADO</t>
  </si>
  <si>
    <t>APORTE PROM. APP. c/u</t>
  </si>
  <si>
    <t>APORTE TOTAL</t>
  </si>
  <si>
    <t>DIRECTORAS Y EDUCADORAS</t>
  </si>
  <si>
    <t>EE.CC.</t>
  </si>
  <si>
    <t>EDUCADORAS</t>
  </si>
  <si>
    <t>PAC.</t>
  </si>
  <si>
    <t>TÉCNICO EN PARVULOS</t>
  </si>
  <si>
    <t>MANIPULADORA DE ALIMENTOS</t>
  </si>
  <si>
    <t>TOTAL GASTO APP/ EN PERSONAL ARMADA</t>
  </si>
  <si>
    <t>Se considera combustible  para maquina cortadora de pasto.</t>
  </si>
  <si>
    <t>Modem mas Internet mensual para actividades Pedagogicas.</t>
  </si>
  <si>
    <t>Zapatos de seguridad personal de cocina y aseo.</t>
  </si>
  <si>
    <t>JUSTIFICACIÓN COSTOS DIRECTOS SC. OLITAS DE MAR:</t>
  </si>
  <si>
    <t>SUPLENCIAS Y REEMPLAZOS (EC  o PAC)</t>
  </si>
  <si>
    <t>OTROS MATERIALES DE USO CONSUMO (CUOTA DE PADRES)</t>
  </si>
  <si>
    <t>JUSTIFICACIÓN COSTOS DIRECTOS JI. OLITAS DE MAR:</t>
  </si>
  <si>
    <t>Jardín Infantil Little People</t>
  </si>
  <si>
    <t>Sala Cuna Little People</t>
  </si>
  <si>
    <t>Jardín Infantil Green Apple</t>
  </si>
  <si>
    <t>Sala Cuna Green Apple</t>
  </si>
  <si>
    <t>INTERNET</t>
  </si>
  <si>
    <t>COM.DE SERVICIO EN EL PAIS (VIATICO - 1 REUNIONES ANUAL DIRECTORA)</t>
  </si>
  <si>
    <t>4 EDUC 4 TECNICOS 1 MANIPULADORA 1 AUX DE SERVICIOS</t>
  </si>
  <si>
    <t>39 J. COMPLETA +  3 MEDIA EXTENDIDA</t>
  </si>
  <si>
    <t>1 ALUMNA EN PRACTICA POR 5 MESES 2 VECES A LA SEMANA</t>
  </si>
  <si>
    <t>RENOVACION DE LOZA, OLLAS, SERVICIOS</t>
  </si>
  <si>
    <t>TORNER Y HOJAS OFICIO CARTA</t>
  </si>
  <si>
    <t>MANTENCION CAMARAS DE VIGILANCIA</t>
  </si>
  <si>
    <t>SE MANTIENE VALOR 2020</t>
  </si>
  <si>
    <t>MATERIALES Y UTILES DE ASEO</t>
  </si>
  <si>
    <t>PASAJES FLETES Y BODEGAJE</t>
  </si>
  <si>
    <t>MAT P MANTEN. Y REPARACION</t>
  </si>
  <si>
    <t>ROPA DE CAMA NINOS</t>
  </si>
  <si>
    <t>45 NINOS JI.</t>
  </si>
  <si>
    <t>TEXTOS Y OTROS MAT. ENSENANZA</t>
  </si>
  <si>
    <t>OTRAS MANTEC Y REP MENORES</t>
  </si>
  <si>
    <t>MANTENCION Y REP DE AIRE ACONDICIONADO</t>
  </si>
  <si>
    <t>Se considera personal Ed. Parv, Tecnicos AUX. DE LOS SERVICIOS y manipuladora renovar uniformes.</t>
  </si>
  <si>
    <t>MANTENCION  IMPRESORA</t>
  </si>
  <si>
    <t>Para el 2021 se considera la proyeccion anual 2020</t>
  </si>
  <si>
    <t xml:space="preserve">Para el 2021 se considera la proyeccion anual 2020 </t>
  </si>
  <si>
    <t>CURSO PARA 2 EDUCADORAS 2 TECNICO DE ACUERDO A PLAN DE CAPACITACIÓN J.I</t>
  </si>
  <si>
    <t>FUMIGACIÓN (LIQUIDO) MAS BOMBONA DE SANITIZACIÓN ($60.000)</t>
  </si>
  <si>
    <t>COMPRA UTILES DE ASEO(2.412.440)+MATERIALES PROTOCOLO NUMERO 3 LIMPIEZA Y DESINFECCION DE JI.8MASCARILLAS 60 CAJAS $551.400, GUANTES DESECHABLES 80 CAJAS $736.000,BUZO BLANCO DESECHABLE  40UN. 164.000,ALCOHOL GEL, $1.099.560, PECHERAS DESECHABLES Q500 UN. $540.000. AMONIO CUATERNARIO$191400, ALCOHOL ETILICO AL 70%  44 LTS.$87.560</t>
  </si>
  <si>
    <t xml:space="preserve">10 NIÑOS J. COMPLETA </t>
  </si>
  <si>
    <t>CUADERNOS LIBRETAS DE COMUNICACIÓN 10 CUADERNOS $1.300</t>
  </si>
  <si>
    <t>RENOVACIÓN SÁBANAS</t>
  </si>
  <si>
    <t>RENOVACION TUNICAS GRADUACION(8 UNIDADES POR $10.000 C/U)</t>
  </si>
  <si>
    <t>ROPA DE CAMA NINOS 2 VECES AL MES 10 JUEGOS DE SABANAS Y CUBRECOLCHONES</t>
  </si>
  <si>
    <t>MANTENCION LUMINARIAS,CALEFONT,CALDERA,CERT. GAS DE ACUERDO A FICHA DE MANTENIMIENTO DE LA INFRAESTRUCTURA</t>
  </si>
  <si>
    <t>SELLOS WC, GRIFERIA , REJA, DESMALEZADO, CANALES, BAJADA DE AGUAS LLUVIAS, TECHUMBRE , SELLOS VENTANA, LIMPIEZA DE CAMARAS DE ACUERDO A FICHA DE MANTENIMIENTO DE INFRA ESTRUCTURA</t>
  </si>
  <si>
    <t>MANTENCION DE QUEMADORES DE ACUERDO A FICHA DE MANTENIMIENTO DE INFRA ESTRUCTURA</t>
  </si>
  <si>
    <t>MANTENCION LUMINARIAS,CALEFONT,CALDERA,CERT. GAS DE ACUERDO A FICHA DE MANTENIMIENTO DE INFRAESTRUCTURA</t>
  </si>
  <si>
    <t>MANTENCION Y REP DE AIRE ACONDICIONADO DE ACUERDO A FIICHA DE MANTENIMIENTO DE INFRAESTRUCTURA</t>
  </si>
  <si>
    <t>MANTENCION DE QUEMADORES DE ACUERDO A FICHA DE MANTENIMIENTO DE INFRAESTRUCTURA</t>
  </si>
  <si>
    <t>SELLOS WC, GRIFERIA , REJA, DESMALEZADO, CANALES, BAJADA DE AGUAS LLUVIAS, TECHUMBRE , SELLOS VENTANA, LIMPIEZA DE CAMARAS DE ACUERDO A FICHA DE MANTENIMIENTO DE INFRESTRUCTURA</t>
  </si>
  <si>
    <t>CUADERNOS LIBRETAS DE COMUNICACIÓN 45 CUADERNOS $1.300</t>
  </si>
  <si>
    <t>1  EDUC 1 TECNICO</t>
  </si>
  <si>
    <t>Se considera personal Ed. Parv, 02 Tecnicos y manipuladora renovar uniformes.</t>
  </si>
  <si>
    <t>FUMIGACIÓN (LIQUIDO) MAS BOMBONA DE SANITIZACIÓN $60,000,-</t>
  </si>
  <si>
    <t>COMISION DE SE SERVICIO  PSICOLOGO(3 PASAJES)- PREVENCIONISTA81 PASAJE).VIATICO:$20.000</t>
  </si>
  <si>
    <t>auxiliar de aseo</t>
  </si>
  <si>
    <t>Sala cuna Bilibri</t>
  </si>
  <si>
    <t>Nueva a contar Enero</t>
  </si>
  <si>
    <t>Nueva a contar de Marzo</t>
  </si>
  <si>
    <t>2 TÉCNICOS EN PARVULOS MÁS 1 MANIPULADORA DE ALIMENTOS</t>
  </si>
  <si>
    <t>1% ANUAL</t>
  </si>
  <si>
    <t>1 EDUCADORA DE PÁRVULOS (Renuncia EE.CC. Bárbara González en Abril preaño) Considera Remuneración y bono fin de año</t>
  </si>
  <si>
    <t>2 TÉCNICOS EN PARVULOS MÁS 1 AUX. ASEO (éste último cargo considera gasto x12 meses REM+BONO FIN DE AÑO)</t>
  </si>
  <si>
    <t>Considerar el el caso no sea posible disponer de CUPO TT. autorizado por DIRECPERS.</t>
  </si>
  <si>
    <t>2.- Desvinculaciones:</t>
  </si>
  <si>
    <t>3.- Aporte Remuneración Armada:</t>
  </si>
  <si>
    <t>1.- Detalle distribución personal JJ.II. Y SC OLITAS DE MAR siguiente detalle:</t>
  </si>
  <si>
    <r>
      <t>01 Educadora EP. LEY 18712/</t>
    </r>
    <r>
      <rPr>
        <b/>
        <u/>
        <sz val="10"/>
        <color rgb="FFFF0000"/>
        <rFont val="Arial"/>
        <family val="2"/>
      </rPr>
      <t xml:space="preserve">Reemplazo EE.CC. Bárbara González </t>
    </r>
    <r>
      <rPr>
        <sz val="10"/>
        <color rgb="FFFF0000"/>
        <rFont val="Arial"/>
        <family val="2"/>
      </rPr>
      <t/>
    </r>
  </si>
  <si>
    <r>
      <t xml:space="preserve">02 Técnico </t>
    </r>
    <r>
      <rPr>
        <b/>
        <u/>
        <sz val="10"/>
        <color rgb="FFFF0000"/>
        <rFont val="Arial"/>
        <family val="2"/>
      </rPr>
      <t>EXISTENTES</t>
    </r>
    <r>
      <rPr>
        <sz val="10"/>
        <color rgb="FFFF0000"/>
        <rFont val="Arial"/>
        <family val="2"/>
      </rPr>
      <t xml:space="preserve"> EP. LEY 18712</t>
    </r>
  </si>
  <si>
    <r>
      <t xml:space="preserve">01 Manipuladora de Alimentos </t>
    </r>
    <r>
      <rPr>
        <b/>
        <u/>
        <sz val="10"/>
        <color rgb="FFFF0000"/>
        <rFont val="Arial"/>
        <family val="2"/>
      </rPr>
      <t>EXISTENTE</t>
    </r>
    <r>
      <rPr>
        <sz val="10"/>
        <color rgb="FFFF0000"/>
        <rFont val="Arial"/>
        <family val="2"/>
      </rPr>
      <t xml:space="preserve"> EP. LEY 18712</t>
    </r>
  </si>
  <si>
    <t>01 Educadora EE.CC + 01 Técnico EP.LEY18712)</t>
  </si>
  <si>
    <t>01 Educadora PAC + 01 Técnico EP.LEY 18712</t>
  </si>
  <si>
    <t>01 Educadora PAC + 01 Técnico TT.</t>
  </si>
  <si>
    <t xml:space="preserve">01 Auxiliar Aseo EP. LEY 18712) Reemplazo TT. Natalia Gutierrez quien fue desvinculada en el mes de DICIEMBRE2019/MSG 141435 autoriza mantener cupo, </t>
  </si>
  <si>
    <t>,,,,</t>
  </si>
  <si>
    <t>Encargado Parque Habitacional (25%)</t>
  </si>
  <si>
    <t>Encargado Sostenimiento (30%)</t>
  </si>
  <si>
    <t>Encargado Asistencia Habitaciona (25%)</t>
  </si>
  <si>
    <r>
      <t>Gasfiter</t>
    </r>
    <r>
      <rPr>
        <sz val="10"/>
        <color rgb="FFFF0000"/>
        <rFont val="Arial"/>
        <family val="2"/>
      </rPr>
      <t xml:space="preserve"> (25%)</t>
    </r>
  </si>
  <si>
    <r>
      <t xml:space="preserve">Jardinero </t>
    </r>
    <r>
      <rPr>
        <sz val="10"/>
        <color rgb="FFFF0000"/>
        <rFont val="Arial"/>
        <family val="2"/>
      </rPr>
      <t>(100%)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</si>
</sst>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 &quot;$&quot;* #,##0_ ;_ &quot;$&quot;* \-#,##0_ ;_ &quot;$&quot;* &quot;-&quot;_ ;_ @_ "/>
    <numFmt numFmtId="165" formatCode="_-\$* #,##0.00_-;&quot;-$&quot;* #,##0.00_-;_-\$* \-??_-;_-@_-"/>
    <numFmt numFmtId="166" formatCode="\$#,##0_);&quot;($&quot;#,##0\)"/>
    <numFmt numFmtId="167" formatCode="_-&quot;$ &quot;* #,##0_-;&quot;-$ &quot;* #,##0_-;_-&quot;$ &quot;* \-_-;_-@_-"/>
    <numFmt numFmtId="168" formatCode="0\ %"/>
    <numFmt numFmtId="169" formatCode="0.0%"/>
    <numFmt numFmtId="170" formatCode="#,##0_ ;[Red]\-#,##0\ "/>
    <numFmt numFmtId="171" formatCode="_-* #,##0.00_-;\-* #,##0.00_-;_-* \-??_-;_-@_-"/>
    <numFmt numFmtId="172" formatCode="_-\ * #,##0_-;&quot;$ &quot;* #,##0_-;_-\ * \-_-;_-@_-"/>
    <numFmt numFmtId="173" formatCode="_-* #,##0.0_-;\-* #,##0.0_-;_-* \-??_-;_-@_-"/>
    <numFmt numFmtId="174" formatCode="_(* #,##0_);_(* \(#,##0\);_(* \-_);_(@_)"/>
    <numFmt numFmtId="175" formatCode="_-* #,##0_-;\-* #,##0_-;_-* \-??_-;_-@_-"/>
    <numFmt numFmtId="176" formatCode="&quot;$&quot;\ #,##0"/>
    <numFmt numFmtId="177" formatCode="_-&quot;$&quot;* #,##0_-;\-&quot;$&quot;* #,##0_-;_-&quot;$&quot;* &quot;-&quot;??_-;_-@_-"/>
    <numFmt numFmtId="178" formatCode="#,##0_ ;\-#,##0\ "/>
    <numFmt numFmtId="179" formatCode="0.00\ %"/>
    <numFmt numFmtId="180" formatCode="_-\$* #,##0_-;&quot;-$&quot;* #,##0_-;_-\$* \-??_-;_-@_-"/>
    <numFmt numFmtId="181" formatCode="_-[$$-340A]\ * #,##0_-;\-[$$-340A]\ * #,##0_-;_-[$$-340A]\ * &quot;-&quot;??_-;_-@_-"/>
    <numFmt numFmtId="182" formatCode="_-* #,##0.00\ &quot;€&quot;_-;\-* #,##0.00\ &quot;€&quot;_-;_-* &quot;-&quot;??\ &quot;€&quot;_-;_-@_-"/>
    <numFmt numFmtId="183" formatCode="_-[$€]* #,##0.00_-;\-[$€]* #,##0.00_-;_-[$€]* &quot;-&quot;??_-;_-@_-"/>
    <numFmt numFmtId="184" formatCode="_-[$€-2]\ * #,##0.00_-;\-[$€-2]\ * #,##0.00_-;_-[$€-2]\ * &quot;-&quot;??_-"/>
  </numFmts>
  <fonts count="39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4"/>
      <color rgb="FF000099"/>
      <name val="Arial"/>
      <family val="2"/>
    </font>
    <font>
      <b/>
      <sz val="12"/>
      <color rgb="FF000099"/>
      <name val="Arial"/>
      <family val="2"/>
    </font>
    <font>
      <sz val="12"/>
      <name val="Arial"/>
      <family val="2"/>
    </font>
    <font>
      <b/>
      <u/>
      <sz val="10"/>
      <color rgb="FFFF0000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4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fgColor auto="1"/>
        <bgColor rgb="FFFFFF00"/>
      </patternFill>
    </fill>
    <fill>
      <patternFill patternType="gray125">
        <bgColor theme="9"/>
      </patternFill>
    </fill>
    <fill>
      <patternFill patternType="gray125">
        <bgColor theme="0" tint="-0.14999847407452621"/>
      </patternFill>
    </fill>
    <fill>
      <patternFill patternType="gray125">
        <bgColor rgb="FFFFFF00"/>
      </patternFill>
    </fill>
    <fill>
      <patternFill patternType="gray125">
        <bgColor theme="4" tint="0.59999389629810485"/>
      </patternFill>
    </fill>
    <fill>
      <patternFill patternType="gray125">
        <bgColor theme="3" tint="0.79998168889431442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  <fill>
      <patternFill patternType="gray125">
        <fgColor indexed="24"/>
        <bgColor theme="5" tint="0.39997558519241921"/>
      </patternFill>
    </fill>
    <fill>
      <patternFill patternType="gray125">
        <fgColor indexed="40"/>
        <bgColor theme="5" tint="0.39997558519241921"/>
      </patternFill>
    </fill>
    <fill>
      <patternFill patternType="gray125">
        <fgColor indexed="24"/>
        <bgColor theme="5" tint="0.79998168889431442"/>
      </patternFill>
    </fill>
    <fill>
      <patternFill patternType="gray125">
        <bgColor theme="3" tint="0.59999389629810485"/>
      </patternFill>
    </fill>
    <fill>
      <patternFill patternType="gray125">
        <bgColor theme="0"/>
      </patternFill>
    </fill>
    <fill>
      <patternFill patternType="gray125">
        <fgColor indexed="24"/>
        <bgColor theme="3" tint="0.39997558519241921"/>
      </patternFill>
    </fill>
    <fill>
      <patternFill patternType="gray125">
        <fgColor indexed="44"/>
        <bgColor theme="3" tint="0.39997558519241921"/>
      </patternFill>
    </fill>
    <fill>
      <patternFill patternType="gray125">
        <bgColor theme="3" tint="0.79995117038483843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9D8FF"/>
        <bgColor indexed="64"/>
      </patternFill>
    </fill>
    <fill>
      <patternFill patternType="gray125">
        <bgColor rgb="FF69D8FF"/>
      </patternFill>
    </fill>
  </fills>
  <borders count="2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1" fontId="13" fillId="0" borderId="0"/>
    <xf numFmtId="165" fontId="13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168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3" fontId="30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71" fontId="13" fillId="0" borderId="0" applyFill="0" applyBorder="0" applyAlignment="0" applyProtection="0"/>
    <xf numFmtId="165" fontId="13" fillId="0" borderId="0" applyFill="0" applyBorder="0" applyAlignment="0" applyProtection="0"/>
    <xf numFmtId="182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ill="0" applyBorder="0" applyAlignment="0" applyProtection="0"/>
    <xf numFmtId="164" fontId="13" fillId="0" borderId="0" applyFont="0" applyFill="0" applyBorder="0" applyAlignment="0" applyProtection="0"/>
    <xf numFmtId="0" fontId="4" fillId="8" borderId="256" applyNumberFormat="0" applyAlignment="0" applyProtection="0"/>
    <xf numFmtId="0" fontId="4" fillId="8" borderId="253" applyNumberFormat="0" applyAlignment="0" applyProtection="0"/>
    <xf numFmtId="0" fontId="4" fillId="8" borderId="254" applyNumberFormat="0" applyAlignment="0" applyProtection="0"/>
    <xf numFmtId="0" fontId="4" fillId="8" borderId="266" applyNumberFormat="0" applyAlignment="0" applyProtection="0"/>
    <xf numFmtId="0" fontId="4" fillId="8" borderId="260" applyNumberFormat="0" applyAlignment="0" applyProtection="0"/>
  </cellStyleXfs>
  <cellXfs count="1090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8" fontId="0" fillId="0" borderId="0" xfId="16" applyFont="1" applyProtection="1"/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2" fillId="9" borderId="0" xfId="0" applyFont="1" applyFill="1" applyBorder="1" applyAlignment="1" applyProtection="1">
      <alignment horizontal="left" vertical="center"/>
    </xf>
    <xf numFmtId="167" fontId="12" fillId="9" borderId="0" xfId="13" applyNumberFormat="1" applyFont="1" applyFill="1" applyBorder="1" applyAlignment="1" applyProtection="1">
      <alignment vertical="center"/>
    </xf>
    <xf numFmtId="165" fontId="12" fillId="0" borderId="0" xfId="13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70" fontId="12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7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65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8" fontId="15" fillId="0" borderId="0" xfId="16" applyFont="1" applyBorder="1" applyAlignment="1" applyProtection="1">
      <alignment vertical="center"/>
    </xf>
    <xf numFmtId="173" fontId="0" fillId="0" borderId="0" xfId="12" applyNumberFormat="1" applyFont="1" applyFill="1" applyBorder="1" applyAlignment="1" applyProtection="1">
      <alignment vertical="center"/>
    </xf>
    <xf numFmtId="168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6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12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6" fontId="0" fillId="0" borderId="0" xfId="0" applyNumberFormat="1" applyFont="1" applyFill="1" applyBorder="1" applyProtection="1"/>
    <xf numFmtId="176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2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168" fontId="12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2" fillId="0" borderId="0" xfId="0" applyFont="1" applyFill="1" applyBorder="1" applyAlignment="1" applyProtection="1">
      <alignment horizontal="center"/>
    </xf>
    <xf numFmtId="176" fontId="12" fillId="0" borderId="0" xfId="0" applyNumberFormat="1" applyFont="1" applyFill="1" applyBorder="1" applyAlignment="1" applyProtection="1">
      <alignment horizontal="center" vertical="center" wrapText="1"/>
    </xf>
    <xf numFmtId="167" fontId="12" fillId="34" borderId="36" xfId="0" applyNumberFormat="1" applyFont="1" applyFill="1" applyBorder="1" applyAlignment="1" applyProtection="1">
      <alignment horizontal="center" vertical="center" wrapText="1"/>
    </xf>
    <xf numFmtId="167" fontId="12" fillId="15" borderId="3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2" fillId="16" borderId="19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176" fontId="12" fillId="26" borderId="19" xfId="0" applyNumberFormat="1" applyFont="1" applyFill="1" applyBorder="1" applyAlignment="1" applyProtection="1">
      <alignment horizontal="center" vertical="center"/>
    </xf>
    <xf numFmtId="169" fontId="12" fillId="19" borderId="19" xfId="16" applyNumberFormat="1" applyFont="1" applyFill="1" applyBorder="1" applyAlignment="1" applyProtection="1">
      <alignment horizontal="center" vertical="center"/>
    </xf>
    <xf numFmtId="0" fontId="12" fillId="16" borderId="28" xfId="0" applyFont="1" applyFill="1" applyBorder="1" applyAlignment="1" applyProtection="1">
      <alignment horizontal="center" vertical="center" wrapText="1"/>
    </xf>
    <xf numFmtId="176" fontId="0" fillId="26" borderId="19" xfId="0" applyNumberFormat="1" applyFont="1" applyFill="1" applyBorder="1" applyAlignment="1" applyProtection="1">
      <alignment horizontal="center" vertical="center"/>
    </xf>
    <xf numFmtId="167" fontId="12" fillId="15" borderId="51" xfId="0" applyNumberFormat="1" applyFont="1" applyFill="1" applyBorder="1" applyAlignment="1" applyProtection="1">
      <alignment horizontal="center" vertical="center" wrapText="1"/>
    </xf>
    <xf numFmtId="176" fontId="22" fillId="26" borderId="15" xfId="0" applyNumberFormat="1" applyFont="1" applyFill="1" applyBorder="1" applyAlignment="1" applyProtection="1">
      <alignment horizontal="right" vertical="center"/>
    </xf>
    <xf numFmtId="168" fontId="14" fillId="19" borderId="6" xfId="16" applyFont="1" applyFill="1" applyBorder="1" applyAlignment="1" applyProtection="1">
      <alignment horizontal="center" vertical="center"/>
    </xf>
    <xf numFmtId="0" fontId="12" fillId="42" borderId="0" xfId="0" applyFont="1" applyFill="1" applyBorder="1" applyAlignment="1" applyProtection="1">
      <alignment horizontal="center" vertical="center"/>
    </xf>
    <xf numFmtId="0" fontId="0" fillId="42" borderId="0" xfId="0" applyFill="1" applyProtection="1"/>
    <xf numFmtId="0" fontId="0" fillId="42" borderId="0" xfId="0" applyFill="1" applyAlignment="1" applyProtection="1">
      <alignment horizontal="center" vertical="center"/>
    </xf>
    <xf numFmtId="177" fontId="0" fillId="0" borderId="0" xfId="13" applyNumberFormat="1" applyFont="1" applyFill="1" applyBorder="1" applyAlignment="1" applyProtection="1">
      <alignment vertical="center"/>
    </xf>
    <xf numFmtId="0" fontId="0" fillId="12" borderId="30" xfId="0" applyFont="1" applyFill="1" applyBorder="1" applyAlignment="1" applyProtection="1">
      <alignment horizontal="left" vertical="center"/>
      <protection locked="0"/>
    </xf>
    <xf numFmtId="0" fontId="0" fillId="12" borderId="37" xfId="0" applyFont="1" applyFill="1" applyBorder="1" applyAlignment="1" applyProtection="1">
      <alignment horizontal="left" vertical="center"/>
      <protection locked="0"/>
    </xf>
    <xf numFmtId="0" fontId="0" fillId="12" borderId="14" xfId="0" applyFont="1" applyFill="1" applyBorder="1" applyAlignment="1" applyProtection="1">
      <alignment horizontal="left" vertical="center"/>
      <protection locked="0"/>
    </xf>
    <xf numFmtId="0" fontId="0" fillId="12" borderId="20" xfId="0" applyFont="1" applyFill="1" applyBorder="1" applyAlignment="1" applyProtection="1">
      <alignment horizontal="left" vertical="center"/>
      <protection locked="0"/>
    </xf>
    <xf numFmtId="0" fontId="0" fillId="12" borderId="20" xfId="0" applyFont="1" applyFill="1" applyBorder="1" applyProtection="1">
      <protection locked="0"/>
    </xf>
    <xf numFmtId="0" fontId="0" fillId="12" borderId="17" xfId="0" applyFont="1" applyFill="1" applyBorder="1" applyProtection="1">
      <protection locked="0"/>
    </xf>
    <xf numFmtId="168" fontId="13" fillId="0" borderId="19" xfId="16" applyBorder="1" applyAlignment="1" applyProtection="1">
      <alignment horizontal="center" vertical="center"/>
    </xf>
    <xf numFmtId="168" fontId="12" fillId="16" borderId="19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7" fontId="12" fillId="15" borderId="55" xfId="0" applyNumberFormat="1" applyFont="1" applyFill="1" applyBorder="1" applyAlignment="1" applyProtection="1">
      <alignment horizontal="center" vertical="center" wrapText="1"/>
    </xf>
    <xf numFmtId="167" fontId="12" fillId="15" borderId="56" xfId="0" applyNumberFormat="1" applyFont="1" applyFill="1" applyBorder="1" applyAlignment="1" applyProtection="1">
      <alignment horizontal="center" vertical="center" wrapText="1"/>
    </xf>
    <xf numFmtId="167" fontId="12" fillId="34" borderId="56" xfId="0" applyNumberFormat="1" applyFont="1" applyFill="1" applyBorder="1" applyAlignment="1" applyProtection="1">
      <alignment horizontal="center" vertical="center" wrapText="1"/>
    </xf>
    <xf numFmtId="167" fontId="12" fillId="34" borderId="59" xfId="0" applyNumberFormat="1" applyFont="1" applyFill="1" applyBorder="1" applyAlignment="1" applyProtection="1">
      <alignment horizontal="center" vertical="center" wrapText="1"/>
    </xf>
    <xf numFmtId="167" fontId="12" fillId="15" borderId="59" xfId="0" applyNumberFormat="1" applyFont="1" applyFill="1" applyBorder="1" applyAlignment="1" applyProtection="1">
      <alignment horizontal="center" vertical="center" wrapText="1"/>
    </xf>
    <xf numFmtId="167" fontId="12" fillId="15" borderId="60" xfId="0" applyNumberFormat="1" applyFont="1" applyFill="1" applyBorder="1" applyAlignment="1" applyProtection="1">
      <alignment horizontal="center" vertical="center" wrapText="1"/>
    </xf>
    <xf numFmtId="167" fontId="12" fillId="34" borderId="62" xfId="0" applyNumberFormat="1" applyFont="1" applyFill="1" applyBorder="1" applyAlignment="1" applyProtection="1">
      <alignment horizontal="center" vertical="center" wrapText="1"/>
    </xf>
    <xf numFmtId="167" fontId="12" fillId="34" borderId="63" xfId="0" applyNumberFormat="1" applyFont="1" applyFill="1" applyBorder="1" applyAlignment="1" applyProtection="1">
      <alignment horizontal="center" vertical="center" wrapText="1"/>
    </xf>
    <xf numFmtId="0" fontId="0" fillId="12" borderId="65" xfId="0" applyFont="1" applyFill="1" applyBorder="1" applyProtection="1">
      <protection locked="0"/>
    </xf>
    <xf numFmtId="167" fontId="12" fillId="34" borderId="78" xfId="0" applyNumberFormat="1" applyFont="1" applyFill="1" applyBorder="1" applyAlignment="1" applyProtection="1">
      <alignment horizontal="center" vertical="center" wrapText="1"/>
    </xf>
    <xf numFmtId="167" fontId="12" fillId="34" borderId="79" xfId="0" applyNumberFormat="1" applyFont="1" applyFill="1" applyBorder="1" applyAlignment="1" applyProtection="1">
      <alignment horizontal="center" vertical="center" wrapText="1"/>
    </xf>
    <xf numFmtId="167" fontId="12" fillId="34" borderId="80" xfId="0" applyNumberFormat="1" applyFont="1" applyFill="1" applyBorder="1" applyAlignment="1" applyProtection="1">
      <alignment horizontal="center" vertical="center" wrapText="1"/>
    </xf>
    <xf numFmtId="177" fontId="0" fillId="29" borderId="68" xfId="13" applyNumberFormat="1" applyFont="1" applyFill="1" applyBorder="1" applyAlignment="1" applyProtection="1">
      <alignment vertical="center"/>
    </xf>
    <xf numFmtId="167" fontId="12" fillId="34" borderId="73" xfId="0" applyNumberFormat="1" applyFont="1" applyFill="1" applyBorder="1" applyAlignment="1" applyProtection="1">
      <alignment horizontal="center" vertical="center" wrapText="1"/>
    </xf>
    <xf numFmtId="167" fontId="12" fillId="15" borderId="85" xfId="0" applyNumberFormat="1" applyFont="1" applyFill="1" applyBorder="1" applyAlignment="1" applyProtection="1">
      <alignment horizontal="center" vertical="center" wrapText="1"/>
    </xf>
    <xf numFmtId="167" fontId="12" fillId="15" borderId="86" xfId="0" applyNumberFormat="1" applyFont="1" applyFill="1" applyBorder="1" applyAlignment="1" applyProtection="1">
      <alignment horizontal="center" vertical="center" wrapText="1"/>
    </xf>
    <xf numFmtId="167" fontId="12" fillId="15" borderId="87" xfId="0" applyNumberFormat="1" applyFont="1" applyFill="1" applyBorder="1" applyAlignment="1" applyProtection="1">
      <alignment horizontal="center" vertical="center" wrapText="1"/>
    </xf>
    <xf numFmtId="167" fontId="12" fillId="15" borderId="80" xfId="0" applyNumberFormat="1" applyFont="1" applyFill="1" applyBorder="1" applyAlignment="1" applyProtection="1">
      <alignment horizontal="center" vertical="center" wrapText="1"/>
    </xf>
    <xf numFmtId="169" fontId="0" fillId="12" borderId="68" xfId="13" applyNumberFormat="1" applyFont="1" applyFill="1" applyBorder="1" applyAlignment="1" applyProtection="1">
      <alignment horizontal="center" vertical="center"/>
      <protection locked="0"/>
    </xf>
    <xf numFmtId="167" fontId="12" fillId="34" borderId="88" xfId="0" applyNumberFormat="1" applyFont="1" applyFill="1" applyBorder="1" applyAlignment="1" applyProtection="1">
      <alignment horizontal="center" vertical="center" wrapText="1"/>
    </xf>
    <xf numFmtId="167" fontId="12" fillId="34" borderId="89" xfId="0" applyNumberFormat="1" applyFont="1" applyFill="1" applyBorder="1" applyAlignment="1" applyProtection="1">
      <alignment horizontal="center" vertical="center" wrapText="1"/>
    </xf>
    <xf numFmtId="167" fontId="12" fillId="34" borderId="90" xfId="0" applyNumberFormat="1" applyFont="1" applyFill="1" applyBorder="1" applyAlignment="1" applyProtection="1">
      <alignment horizontal="center" vertical="center" wrapText="1"/>
    </xf>
    <xf numFmtId="0" fontId="12" fillId="16" borderId="91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168" fontId="28" fillId="0" borderId="0" xfId="16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4" fillId="11" borderId="0" xfId="0" applyFont="1" applyFill="1" applyBorder="1" applyAlignment="1" applyProtection="1">
      <alignment horizontal="left" vertical="center" indent="2"/>
    </xf>
    <xf numFmtId="0" fontId="24" fillId="0" borderId="0" xfId="0" applyFont="1" applyBorder="1" applyAlignment="1" applyProtection="1">
      <alignment horizontal="left" vertical="center" indent="2"/>
    </xf>
    <xf numFmtId="0" fontId="12" fillId="0" borderId="0" xfId="0" applyFont="1" applyFill="1" applyBorder="1" applyAlignment="1" applyProtection="1">
      <alignment horizontal="center" vertical="center"/>
    </xf>
    <xf numFmtId="0" fontId="0" fillId="12" borderId="101" xfId="0" applyFont="1" applyFill="1" applyBorder="1" applyProtection="1">
      <protection locked="0"/>
    </xf>
    <xf numFmtId="177" fontId="0" fillId="12" borderId="102" xfId="13" applyNumberFormat="1" applyFont="1" applyFill="1" applyBorder="1" applyAlignment="1" applyProtection="1">
      <alignment vertical="center"/>
      <protection locked="0"/>
    </xf>
    <xf numFmtId="177" fontId="0" fillId="12" borderId="103" xfId="13" applyNumberFormat="1" applyFont="1" applyFill="1" applyBorder="1" applyAlignment="1" applyProtection="1">
      <alignment vertical="center"/>
      <protection locked="0"/>
    </xf>
    <xf numFmtId="0" fontId="0" fillId="12" borderId="104" xfId="0" applyFont="1" applyFill="1" applyBorder="1" applyAlignment="1" applyProtection="1">
      <alignment horizontal="left" vertical="center"/>
      <protection locked="0"/>
    </xf>
    <xf numFmtId="0" fontId="0" fillId="12" borderId="104" xfId="0" applyFont="1" applyFill="1" applyBorder="1" applyProtection="1">
      <protection locked="0"/>
    </xf>
    <xf numFmtId="0" fontId="0" fillId="12" borderId="105" xfId="0" applyFont="1" applyFill="1" applyBorder="1" applyProtection="1">
      <protection locked="0"/>
    </xf>
    <xf numFmtId="177" fontId="0" fillId="12" borderId="104" xfId="13" applyNumberFormat="1" applyFont="1" applyFill="1" applyBorder="1" applyAlignment="1" applyProtection="1">
      <alignment vertical="center"/>
      <protection locked="0"/>
    </xf>
    <xf numFmtId="0" fontId="0" fillId="12" borderId="102" xfId="0" applyFont="1" applyFill="1" applyBorder="1" applyAlignment="1" applyProtection="1">
      <alignment horizontal="left" vertical="center"/>
      <protection locked="0"/>
    </xf>
    <xf numFmtId="0" fontId="0" fillId="12" borderId="102" xfId="0" applyFont="1" applyFill="1" applyBorder="1" applyProtection="1">
      <protection locked="0"/>
    </xf>
    <xf numFmtId="0" fontId="0" fillId="12" borderId="107" xfId="0" applyFont="1" applyFill="1" applyBorder="1" applyProtection="1">
      <protection locked="0"/>
    </xf>
    <xf numFmtId="0" fontId="0" fillId="12" borderId="98" xfId="0" applyFont="1" applyFill="1" applyBorder="1" applyAlignment="1" applyProtection="1">
      <alignment horizontal="left" vertical="center"/>
      <protection locked="0"/>
    </xf>
    <xf numFmtId="0" fontId="0" fillId="12" borderId="98" xfId="0" applyFont="1" applyFill="1" applyBorder="1" applyProtection="1">
      <protection locked="0"/>
    </xf>
    <xf numFmtId="0" fontId="0" fillId="12" borderId="103" xfId="0" applyFont="1" applyFill="1" applyBorder="1" applyAlignment="1" applyProtection="1">
      <alignment horizontal="left" vertical="center"/>
      <protection locked="0"/>
    </xf>
    <xf numFmtId="0" fontId="0" fillId="12" borderId="103" xfId="0" applyFont="1" applyFill="1" applyBorder="1" applyProtection="1">
      <protection locked="0"/>
    </xf>
    <xf numFmtId="0" fontId="0" fillId="12" borderId="109" xfId="0" applyFont="1" applyFill="1" applyBorder="1" applyProtection="1">
      <protection locked="0"/>
    </xf>
    <xf numFmtId="176" fontId="0" fillId="0" borderId="110" xfId="0" applyNumberFormat="1" applyFont="1" applyFill="1" applyBorder="1" applyAlignment="1" applyProtection="1">
      <alignment horizontal="right" vertical="center"/>
    </xf>
    <xf numFmtId="176" fontId="0" fillId="0" borderId="112" xfId="0" applyNumberFormat="1" applyFont="1" applyFill="1" applyBorder="1" applyAlignment="1" applyProtection="1">
      <alignment horizontal="right" vertical="center"/>
    </xf>
    <xf numFmtId="176" fontId="0" fillId="0" borderId="113" xfId="0" applyNumberFormat="1" applyFont="1" applyFill="1" applyBorder="1" applyAlignment="1" applyProtection="1">
      <alignment horizontal="right" vertical="center"/>
    </xf>
    <xf numFmtId="177" fontId="0" fillId="12" borderId="107" xfId="13" applyNumberFormat="1" applyFont="1" applyFill="1" applyBorder="1" applyAlignment="1" applyProtection="1">
      <alignment vertical="center"/>
      <protection locked="0"/>
    </xf>
    <xf numFmtId="177" fontId="0" fillId="12" borderId="109" xfId="13" applyNumberFormat="1" applyFont="1" applyFill="1" applyBorder="1" applyAlignment="1" applyProtection="1">
      <alignment vertical="center"/>
      <protection locked="0"/>
    </xf>
    <xf numFmtId="177" fontId="0" fillId="12" borderId="105" xfId="13" applyNumberFormat="1" applyFont="1" applyFill="1" applyBorder="1" applyAlignment="1" applyProtection="1">
      <alignment vertical="center"/>
      <protection locked="0"/>
    </xf>
    <xf numFmtId="176" fontId="0" fillId="29" borderId="112" xfId="0" applyNumberFormat="1" applyFont="1" applyFill="1" applyBorder="1" applyAlignment="1" applyProtection="1">
      <alignment horizontal="right" vertical="center"/>
    </xf>
    <xf numFmtId="176" fontId="0" fillId="29" borderId="113" xfId="0" applyNumberFormat="1" applyFont="1" applyFill="1" applyBorder="1" applyAlignment="1" applyProtection="1">
      <alignment horizontal="right" vertical="center"/>
    </xf>
    <xf numFmtId="176" fontId="0" fillId="29" borderId="110" xfId="0" applyNumberFormat="1" applyFont="1" applyFill="1" applyBorder="1" applyAlignment="1" applyProtection="1">
      <alignment horizontal="right" vertical="center"/>
    </xf>
    <xf numFmtId="176" fontId="0" fillId="29" borderId="106" xfId="0" applyNumberFormat="1" applyFont="1" applyFill="1" applyBorder="1" applyAlignment="1" applyProtection="1">
      <alignment horizontal="right" vertical="center"/>
    </xf>
    <xf numFmtId="176" fontId="0" fillId="29" borderId="114" xfId="0" applyNumberFormat="1" applyFont="1" applyFill="1" applyBorder="1" applyAlignment="1" applyProtection="1">
      <alignment horizontal="right" vertical="center"/>
    </xf>
    <xf numFmtId="176" fontId="0" fillId="0" borderId="106" xfId="0" applyNumberFormat="1" applyFont="1" applyFill="1" applyBorder="1" applyAlignment="1" applyProtection="1">
      <alignment horizontal="right" vertical="center"/>
    </xf>
    <xf numFmtId="176" fontId="0" fillId="0" borderId="114" xfId="0" applyNumberFormat="1" applyFont="1" applyFill="1" applyBorder="1" applyAlignment="1" applyProtection="1">
      <alignment horizontal="right" vertical="center"/>
    </xf>
    <xf numFmtId="0" fontId="0" fillId="12" borderId="115" xfId="0" applyFont="1" applyFill="1" applyBorder="1" applyAlignment="1" applyProtection="1">
      <alignment horizontal="left" vertical="center"/>
      <protection locked="0"/>
    </xf>
    <xf numFmtId="0" fontId="0" fillId="12" borderId="116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vertical="center"/>
    </xf>
    <xf numFmtId="0" fontId="10" fillId="23" borderId="103" xfId="0" applyFont="1" applyFill="1" applyBorder="1" applyAlignment="1" applyProtection="1">
      <alignment horizontal="left" vertical="center"/>
    </xf>
    <xf numFmtId="0" fontId="10" fillId="20" borderId="103" xfId="0" applyFont="1" applyFill="1" applyBorder="1" applyAlignment="1" applyProtection="1">
      <alignment horizontal="left" vertical="center"/>
    </xf>
    <xf numFmtId="174" fontId="18" fillId="0" borderId="103" xfId="0" applyNumberFormat="1" applyFont="1" applyFill="1" applyBorder="1" applyAlignment="1" applyProtection="1">
      <alignment horizontal="left"/>
    </xf>
    <xf numFmtId="0" fontId="12" fillId="21" borderId="103" xfId="0" applyFont="1" applyFill="1" applyBorder="1" applyAlignment="1" applyProtection="1">
      <alignment horizontal="center" vertical="center"/>
    </xf>
    <xf numFmtId="0" fontId="12" fillId="20" borderId="103" xfId="0" applyFont="1" applyFill="1" applyBorder="1" applyAlignment="1" applyProtection="1">
      <alignment horizontal="center" vertical="center" wrapText="1"/>
    </xf>
    <xf numFmtId="1" fontId="0" fillId="0" borderId="103" xfId="0" applyNumberFormat="1" applyFont="1" applyFill="1" applyBorder="1" applyAlignment="1" applyProtection="1">
      <alignment horizontal="center" vertical="center" wrapText="1"/>
    </xf>
    <xf numFmtId="167" fontId="10" fillId="23" borderId="103" xfId="13" applyNumberFormat="1" applyFont="1" applyFill="1" applyBorder="1" applyAlignment="1" applyProtection="1">
      <alignment horizontal="center" vertical="center"/>
    </xf>
    <xf numFmtId="167" fontId="10" fillId="20" borderId="103" xfId="13" applyNumberFormat="1" applyFont="1" applyFill="1" applyBorder="1" applyAlignment="1" applyProtection="1">
      <alignment horizontal="center" vertical="center"/>
    </xf>
    <xf numFmtId="167" fontId="0" fillId="12" borderId="103" xfId="13" applyNumberFormat="1" applyFont="1" applyFill="1" applyBorder="1" applyAlignment="1" applyProtection="1">
      <alignment vertical="center"/>
      <protection locked="0"/>
    </xf>
    <xf numFmtId="0" fontId="12" fillId="30" borderId="103" xfId="0" applyFont="1" applyFill="1" applyBorder="1" applyAlignment="1" applyProtection="1">
      <alignment horizontal="center" vertical="center" wrapText="1"/>
    </xf>
    <xf numFmtId="0" fontId="12" fillId="31" borderId="103" xfId="0" applyFont="1" applyFill="1" applyBorder="1" applyAlignment="1" applyProtection="1">
      <alignment horizontal="left" vertical="center"/>
    </xf>
    <xf numFmtId="167" fontId="12" fillId="30" borderId="103" xfId="0" applyNumberFormat="1" applyFont="1" applyFill="1" applyBorder="1" applyAlignment="1" applyProtection="1">
      <alignment horizontal="center" vertical="center" wrapText="1"/>
    </xf>
    <xf numFmtId="9" fontId="0" fillId="12" borderId="118" xfId="0" applyNumberFormat="1" applyFont="1" applyFill="1" applyBorder="1" applyAlignment="1" applyProtection="1">
      <alignment horizontal="center" vertical="center"/>
      <protection locked="0"/>
    </xf>
    <xf numFmtId="181" fontId="0" fillId="11" borderId="0" xfId="0" applyNumberFormat="1" applyFont="1" applyFill="1" applyProtection="1"/>
    <xf numFmtId="180" fontId="0" fillId="11" borderId="0" xfId="0" applyNumberFormat="1" applyFont="1" applyFill="1" applyProtection="1"/>
    <xf numFmtId="167" fontId="0" fillId="29" borderId="137" xfId="13" applyNumberFormat="1" applyFont="1" applyFill="1" applyBorder="1" applyAlignment="1" applyProtection="1">
      <alignment vertical="center"/>
    </xf>
    <xf numFmtId="179" fontId="13" fillId="36" borderId="139" xfId="16" applyNumberFormat="1" applyFill="1" applyBorder="1" applyAlignment="1" applyProtection="1">
      <alignment horizontal="center" vertical="center"/>
    </xf>
    <xf numFmtId="179" fontId="13" fillId="36" borderId="140" xfId="16" applyNumberFormat="1" applyFill="1" applyBorder="1" applyAlignment="1" applyProtection="1">
      <alignment horizontal="center" vertical="center"/>
    </xf>
    <xf numFmtId="179" fontId="13" fillId="36" borderId="141" xfId="16" applyNumberFormat="1" applyFill="1" applyBorder="1" applyAlignment="1" applyProtection="1">
      <alignment horizontal="center" vertical="center"/>
    </xf>
    <xf numFmtId="179" fontId="13" fillId="36" borderId="142" xfId="16" applyNumberFormat="1" applyFill="1" applyBorder="1" applyAlignment="1" applyProtection="1">
      <alignment horizontal="center" vertical="center"/>
    </xf>
    <xf numFmtId="178" fontId="0" fillId="12" borderId="144" xfId="13" applyNumberFormat="1" applyFont="1" applyFill="1" applyBorder="1" applyAlignment="1" applyProtection="1">
      <alignment horizontal="center" vertical="center"/>
      <protection locked="0"/>
    </xf>
    <xf numFmtId="0" fontId="0" fillId="45" borderId="69" xfId="0" applyFont="1" applyFill="1" applyBorder="1" applyAlignment="1" applyProtection="1">
      <alignment horizontal="left" vertical="center"/>
    </xf>
    <xf numFmtId="177" fontId="0" fillId="45" borderId="69" xfId="13" applyNumberFormat="1" applyFont="1" applyFill="1" applyBorder="1" applyAlignment="1" applyProtection="1">
      <alignment vertical="center"/>
    </xf>
    <xf numFmtId="177" fontId="0" fillId="45" borderId="74" xfId="13" applyNumberFormat="1" applyFont="1" applyFill="1" applyBorder="1" applyAlignment="1" applyProtection="1">
      <alignment vertical="center"/>
    </xf>
    <xf numFmtId="0" fontId="0" fillId="45" borderId="66" xfId="0" applyFont="1" applyFill="1" applyBorder="1" applyAlignment="1" applyProtection="1">
      <alignment horizontal="left" vertical="center"/>
    </xf>
    <xf numFmtId="177" fontId="0" fillId="45" borderId="66" xfId="13" applyNumberFormat="1" applyFont="1" applyFill="1" applyBorder="1" applyAlignment="1" applyProtection="1">
      <alignment vertical="center"/>
    </xf>
    <xf numFmtId="177" fontId="0" fillId="45" borderId="67" xfId="13" applyNumberFormat="1" applyFont="1" applyFill="1" applyBorder="1" applyAlignment="1" applyProtection="1">
      <alignment vertical="center"/>
    </xf>
    <xf numFmtId="169" fontId="0" fillId="45" borderId="74" xfId="13" applyNumberFormat="1" applyFont="1" applyFill="1" applyBorder="1" applyAlignment="1" applyProtection="1">
      <alignment horizontal="center" vertical="center"/>
    </xf>
    <xf numFmtId="168" fontId="13" fillId="0" borderId="0" xfId="16" applyProtection="1"/>
    <xf numFmtId="180" fontId="13" fillId="0" borderId="0" xfId="13" applyNumberFormat="1" applyProtection="1"/>
    <xf numFmtId="0" fontId="22" fillId="12" borderId="43" xfId="0" applyFont="1" applyFill="1" applyBorder="1" applyAlignment="1" applyProtection="1">
      <alignment horizontal="center" vertical="center"/>
      <protection locked="0"/>
    </xf>
    <xf numFmtId="177" fontId="0" fillId="12" borderId="141" xfId="13" applyNumberFormat="1" applyFont="1" applyFill="1" applyBorder="1" applyAlignment="1" applyProtection="1">
      <alignment vertical="center"/>
      <protection locked="0"/>
    </xf>
    <xf numFmtId="9" fontId="0" fillId="12" borderId="142" xfId="0" applyNumberFormat="1" applyFont="1" applyFill="1" applyBorder="1" applyAlignment="1" applyProtection="1">
      <alignment horizontal="center" vertical="center"/>
      <protection locked="0"/>
    </xf>
    <xf numFmtId="176" fontId="0" fillId="0" borderId="143" xfId="0" applyNumberFormat="1" applyFont="1" applyFill="1" applyBorder="1" applyAlignment="1" applyProtection="1">
      <alignment horizontal="right" vertical="center"/>
    </xf>
    <xf numFmtId="176" fontId="0" fillId="0" borderId="107" xfId="0" applyNumberFormat="1" applyFont="1" applyFill="1" applyBorder="1" applyAlignment="1" applyProtection="1">
      <alignment horizontal="right" vertical="center"/>
    </xf>
    <xf numFmtId="176" fontId="0" fillId="0" borderId="151" xfId="0" applyNumberFormat="1" applyFont="1" applyFill="1" applyBorder="1" applyAlignment="1" applyProtection="1">
      <alignment horizontal="right" vertical="center"/>
    </xf>
    <xf numFmtId="176" fontId="0" fillId="0" borderId="137" xfId="0" applyNumberFormat="1" applyFont="1" applyFill="1" applyBorder="1" applyAlignment="1" applyProtection="1">
      <alignment horizontal="right" vertical="center"/>
    </xf>
    <xf numFmtId="9" fontId="0" fillId="11" borderId="140" xfId="0" applyNumberFormat="1" applyFont="1" applyFill="1" applyBorder="1" applyAlignment="1" applyProtection="1">
      <alignment horizontal="center" vertical="center"/>
    </xf>
    <xf numFmtId="9" fontId="0" fillId="11" borderId="143" xfId="0" applyNumberFormat="1" applyFont="1" applyFill="1" applyBorder="1" applyAlignment="1" applyProtection="1">
      <alignment horizontal="center" vertical="center"/>
    </xf>
    <xf numFmtId="9" fontId="0" fillId="12" borderId="146" xfId="0" applyNumberFormat="1" applyFont="1" applyFill="1" applyBorder="1" applyAlignment="1" applyProtection="1">
      <alignment horizontal="center" vertical="center"/>
      <protection locked="0"/>
    </xf>
    <xf numFmtId="9" fontId="0" fillId="11" borderId="145" xfId="0" applyNumberFormat="1" applyFont="1" applyFill="1" applyBorder="1" applyAlignment="1" applyProtection="1">
      <alignment horizontal="center" vertical="center"/>
    </xf>
    <xf numFmtId="0" fontId="9" fillId="14" borderId="146" xfId="0" applyFont="1" applyFill="1" applyBorder="1" applyAlignment="1" applyProtection="1">
      <alignment horizontal="center" vertical="center"/>
    </xf>
    <xf numFmtId="0" fontId="9" fillId="46" borderId="145" xfId="0" applyFont="1" applyFill="1" applyBorder="1" applyAlignment="1" applyProtection="1">
      <alignment horizontal="center" vertical="center"/>
    </xf>
    <xf numFmtId="0" fontId="9" fillId="14" borderId="137" xfId="0" applyFont="1" applyFill="1" applyBorder="1" applyAlignment="1" applyProtection="1">
      <alignment horizontal="center" vertical="center"/>
    </xf>
    <xf numFmtId="0" fontId="9" fillId="46" borderId="158" xfId="0" applyFont="1" applyFill="1" applyBorder="1" applyAlignment="1" applyProtection="1">
      <alignment horizontal="center" vertical="center"/>
    </xf>
    <xf numFmtId="168" fontId="0" fillId="12" borderId="120" xfId="16" applyFont="1" applyFill="1" applyBorder="1" applyAlignment="1" applyProtection="1">
      <alignment horizontal="center" vertical="center"/>
      <protection locked="0"/>
    </xf>
    <xf numFmtId="168" fontId="0" fillId="12" borderId="159" xfId="16" applyFont="1" applyFill="1" applyBorder="1" applyAlignment="1" applyProtection="1">
      <alignment horizontal="center" vertical="center"/>
      <protection locked="0"/>
    </xf>
    <xf numFmtId="168" fontId="0" fillId="12" borderId="158" xfId="16" applyFont="1" applyFill="1" applyBorder="1" applyAlignment="1" applyProtection="1">
      <alignment horizontal="center" vertical="center"/>
      <protection locked="0"/>
    </xf>
    <xf numFmtId="176" fontId="0" fillId="0" borderId="140" xfId="0" applyNumberFormat="1" applyFont="1" applyFill="1" applyBorder="1" applyAlignment="1" applyProtection="1">
      <alignment horizontal="right" vertical="center"/>
    </xf>
    <xf numFmtId="176" fontId="0" fillId="0" borderId="145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vertical="center" wrapText="1"/>
    </xf>
    <xf numFmtId="0" fontId="9" fillId="47" borderId="146" xfId="0" applyFont="1" applyFill="1" applyBorder="1" applyAlignment="1" applyProtection="1">
      <alignment horizontal="center" vertical="center"/>
    </xf>
    <xf numFmtId="0" fontId="9" fillId="47" borderId="145" xfId="0" applyFont="1" applyFill="1" applyBorder="1" applyAlignment="1" applyProtection="1">
      <alignment horizontal="center" vertical="center"/>
    </xf>
    <xf numFmtId="168" fontId="29" fillId="0" borderId="122" xfId="16" applyFont="1" applyFill="1" applyBorder="1" applyAlignment="1" applyProtection="1">
      <alignment horizontal="center" vertical="center"/>
    </xf>
    <xf numFmtId="168" fontId="29" fillId="0" borderId="125" xfId="16" applyFont="1" applyFill="1" applyBorder="1" applyAlignment="1" applyProtection="1">
      <alignment horizontal="center" vertical="center"/>
    </xf>
    <xf numFmtId="176" fontId="0" fillId="27" borderId="124" xfId="0" applyNumberFormat="1" applyFont="1" applyFill="1" applyBorder="1" applyAlignment="1" applyProtection="1">
      <alignment horizontal="right" vertical="center"/>
    </xf>
    <xf numFmtId="176" fontId="0" fillId="27" borderId="162" xfId="0" applyNumberFormat="1" applyFont="1" applyFill="1" applyBorder="1" applyAlignment="1" applyProtection="1">
      <alignment horizontal="right" vertical="center"/>
    </xf>
    <xf numFmtId="0" fontId="0" fillId="11" borderId="164" xfId="0" applyFont="1" applyFill="1" applyBorder="1" applyProtection="1"/>
    <xf numFmtId="0" fontId="0" fillId="11" borderId="165" xfId="0" applyFont="1" applyFill="1" applyBorder="1" applyProtection="1"/>
    <xf numFmtId="0" fontId="0" fillId="11" borderId="166" xfId="0" applyFont="1" applyFill="1" applyBorder="1" applyProtection="1"/>
    <xf numFmtId="0" fontId="0" fillId="11" borderId="154" xfId="0" applyFont="1" applyFill="1" applyBorder="1" applyProtection="1"/>
    <xf numFmtId="0" fontId="0" fillId="11" borderId="96" xfId="0" applyFont="1" applyFill="1" applyBorder="1" applyProtection="1"/>
    <xf numFmtId="0" fontId="24" fillId="0" borderId="154" xfId="0" applyFont="1" applyBorder="1" applyAlignment="1" applyProtection="1">
      <alignment vertical="center"/>
    </xf>
    <xf numFmtId="0" fontId="9" fillId="14" borderId="147" xfId="0" applyFont="1" applyFill="1" applyBorder="1" applyAlignment="1" applyProtection="1">
      <alignment horizontal="center" vertical="center"/>
    </xf>
    <xf numFmtId="0" fontId="9" fillId="14" borderId="163" xfId="0" applyFont="1" applyFill="1" applyBorder="1" applyAlignment="1" applyProtection="1">
      <alignment horizontal="center" vertical="center"/>
    </xf>
    <xf numFmtId="0" fontId="9" fillId="47" borderId="147" xfId="0" applyFont="1" applyFill="1" applyBorder="1" applyAlignment="1" applyProtection="1">
      <alignment horizontal="center" vertical="center"/>
    </xf>
    <xf numFmtId="0" fontId="9" fillId="47" borderId="163" xfId="0" applyFont="1" applyFill="1" applyBorder="1" applyAlignment="1" applyProtection="1">
      <alignment horizontal="center" vertical="center"/>
    </xf>
    <xf numFmtId="0" fontId="9" fillId="46" borderId="147" xfId="0" applyFont="1" applyFill="1" applyBorder="1" applyAlignment="1" applyProtection="1">
      <alignment horizontal="center" vertical="center"/>
    </xf>
    <xf numFmtId="0" fontId="9" fillId="46" borderId="163" xfId="0" applyFont="1" applyFill="1" applyBorder="1" applyAlignment="1" applyProtection="1">
      <alignment horizontal="center" vertical="center"/>
    </xf>
    <xf numFmtId="176" fontId="0" fillId="26" borderId="139" xfId="0" applyNumberFormat="1" applyFont="1" applyFill="1" applyBorder="1" applyAlignment="1" applyProtection="1">
      <alignment horizontal="right" vertical="center"/>
    </xf>
    <xf numFmtId="176" fontId="0" fillId="26" borderId="140" xfId="0" applyNumberFormat="1" applyFont="1" applyFill="1" applyBorder="1" applyAlignment="1" applyProtection="1">
      <alignment horizontal="right" vertical="center"/>
    </xf>
    <xf numFmtId="0" fontId="0" fillId="11" borderId="155" xfId="0" applyFont="1" applyFill="1" applyBorder="1" applyProtection="1"/>
    <xf numFmtId="0" fontId="0" fillId="11" borderId="161" xfId="0" applyFont="1" applyFill="1" applyBorder="1" applyProtection="1"/>
    <xf numFmtId="0" fontId="0" fillId="11" borderId="92" xfId="0" applyFont="1" applyFill="1" applyBorder="1" applyProtection="1"/>
    <xf numFmtId="167" fontId="10" fillId="20" borderId="103" xfId="13" applyNumberFormat="1" applyFont="1" applyFill="1" applyBorder="1" applyAlignment="1" applyProtection="1">
      <alignment horizontal="center" vertical="center"/>
      <protection locked="0"/>
    </xf>
    <xf numFmtId="9" fontId="0" fillId="43" borderId="118" xfId="0" applyNumberFormat="1" applyFont="1" applyFill="1" applyBorder="1" applyAlignment="1" applyProtection="1">
      <alignment horizontal="center" vertical="center"/>
    </xf>
    <xf numFmtId="9" fontId="0" fillId="43" borderId="139" xfId="0" applyNumberFormat="1" applyFont="1" applyFill="1" applyBorder="1" applyAlignment="1" applyProtection="1">
      <alignment horizontal="center" vertical="center"/>
    </xf>
    <xf numFmtId="168" fontId="0" fillId="43" borderId="139" xfId="16" applyFont="1" applyFill="1" applyBorder="1" applyAlignment="1" applyProtection="1">
      <alignment horizontal="center" vertical="center"/>
    </xf>
    <xf numFmtId="0" fontId="12" fillId="16" borderId="163" xfId="0" applyFont="1" applyFill="1" applyBorder="1" applyAlignment="1" applyProtection="1">
      <alignment horizontal="center" vertical="center" wrapText="1"/>
    </xf>
    <xf numFmtId="177" fontId="0" fillId="12" borderId="139" xfId="13" applyNumberFormat="1" applyFont="1" applyFill="1" applyBorder="1" applyAlignment="1" applyProtection="1">
      <alignment vertical="center"/>
      <protection locked="0"/>
    </xf>
    <xf numFmtId="176" fontId="0" fillId="29" borderId="140" xfId="0" applyNumberFormat="1" applyFont="1" applyFill="1" applyBorder="1" applyAlignment="1" applyProtection="1">
      <alignment vertical="center"/>
    </xf>
    <xf numFmtId="176" fontId="0" fillId="29" borderId="143" xfId="0" applyNumberFormat="1" applyFont="1" applyFill="1" applyBorder="1" applyAlignment="1" applyProtection="1">
      <alignment vertical="center"/>
    </xf>
    <xf numFmtId="176" fontId="0" fillId="29" borderId="157" xfId="0" applyNumberFormat="1" applyFont="1" applyFill="1" applyBorder="1" applyAlignment="1" applyProtection="1">
      <alignment horizontal="right" vertical="center"/>
    </xf>
    <xf numFmtId="176" fontId="0" fillId="29" borderId="177" xfId="0" applyNumberFormat="1" applyFont="1" applyFill="1" applyBorder="1" applyAlignment="1" applyProtection="1">
      <alignment horizontal="right" vertical="center"/>
    </xf>
    <xf numFmtId="176" fontId="21" fillId="28" borderId="153" xfId="0" applyNumberFormat="1" applyFont="1" applyFill="1" applyBorder="1" applyAlignment="1" applyProtection="1">
      <alignment horizontal="center" vertical="center"/>
    </xf>
    <xf numFmtId="176" fontId="22" fillId="28" borderId="64" xfId="0" applyNumberFormat="1" applyFont="1" applyFill="1" applyBorder="1" applyAlignment="1" applyProtection="1">
      <alignment vertical="center"/>
    </xf>
    <xf numFmtId="167" fontId="0" fillId="12" borderId="140" xfId="13" applyNumberFormat="1" applyFont="1" applyFill="1" applyBorder="1" applyAlignment="1" applyProtection="1">
      <alignment vertical="center"/>
      <protection locked="0"/>
    </xf>
    <xf numFmtId="0" fontId="0" fillId="12" borderId="142" xfId="0" applyFont="1" applyFill="1" applyBorder="1" applyAlignment="1" applyProtection="1">
      <alignment horizontal="left" vertical="center"/>
      <protection locked="0"/>
    </xf>
    <xf numFmtId="167" fontId="0" fillId="12" borderId="143" xfId="13" applyNumberFormat="1" applyFont="1" applyFill="1" applyBorder="1" applyAlignment="1" applyProtection="1">
      <alignment vertical="center"/>
      <protection locked="0"/>
    </xf>
    <xf numFmtId="0" fontId="0" fillId="12" borderId="146" xfId="0" applyFont="1" applyFill="1" applyBorder="1" applyAlignment="1" applyProtection="1">
      <alignment horizontal="left" vertical="center"/>
      <protection locked="0"/>
    </xf>
    <xf numFmtId="167" fontId="0" fillId="12" borderId="145" xfId="13" applyNumberFormat="1" applyFont="1" applyFill="1" applyBorder="1" applyAlignment="1" applyProtection="1">
      <alignment vertical="center"/>
      <protection locked="0"/>
    </xf>
    <xf numFmtId="179" fontId="13" fillId="36" borderId="146" xfId="16" applyNumberFormat="1" applyFill="1" applyBorder="1" applyAlignment="1" applyProtection="1">
      <alignment horizontal="center" vertical="center"/>
    </xf>
    <xf numFmtId="179" fontId="13" fillId="36" borderId="144" xfId="16" applyNumberFormat="1" applyFill="1" applyBorder="1" applyAlignment="1" applyProtection="1">
      <alignment horizontal="center" vertical="center"/>
    </xf>
    <xf numFmtId="179" fontId="13" fillId="36" borderId="145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0" fillId="0" borderId="0" xfId="20" applyFill="1" applyBorder="1" applyAlignment="1" applyProtection="1">
      <alignment vertical="center"/>
    </xf>
    <xf numFmtId="0" fontId="20" fillId="11" borderId="0" xfId="20" applyFill="1" applyBorder="1" applyAlignment="1" applyProtection="1">
      <alignment vertical="center"/>
    </xf>
    <xf numFmtId="0" fontId="20" fillId="0" borderId="0" xfId="20" applyProtection="1"/>
    <xf numFmtId="0" fontId="20" fillId="0" borderId="0" xfId="20" applyBorder="1" applyAlignment="1" applyProtection="1">
      <alignment vertical="center"/>
    </xf>
    <xf numFmtId="0" fontId="20" fillId="0" borderId="0" xfId="20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0" fillId="0" borderId="0" xfId="20" quotePrefix="1" applyBorder="1" applyAlignment="1" applyProtection="1">
      <alignment horizontal="left" vertical="center"/>
    </xf>
    <xf numFmtId="0" fontId="20" fillId="0" borderId="0" xfId="20"/>
    <xf numFmtId="0" fontId="20" fillId="11" borderId="0" xfId="20" applyFill="1" applyBorder="1" applyAlignment="1" applyProtection="1">
      <alignment horizontal="left" vertical="center"/>
    </xf>
    <xf numFmtId="0" fontId="20" fillId="0" borderId="0" xfId="20" applyAlignment="1" applyProtection="1">
      <alignment horizontal="left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 indent="2"/>
    </xf>
    <xf numFmtId="0" fontId="12" fillId="17" borderId="141" xfId="0" applyFont="1" applyFill="1" applyBorder="1" applyAlignment="1" applyProtection="1">
      <alignment horizontal="center" vertical="center" wrapText="1"/>
    </xf>
    <xf numFmtId="173" fontId="12" fillId="17" borderId="141" xfId="12" applyNumberFormat="1" applyFont="1" applyFill="1" applyBorder="1" applyAlignment="1" applyProtection="1">
      <alignment horizontal="center" vertical="center" wrapText="1"/>
    </xf>
    <xf numFmtId="0" fontId="10" fillId="17" borderId="141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77" fontId="0" fillId="29" borderId="140" xfId="13" applyNumberFormat="1" applyFont="1" applyFill="1" applyBorder="1" applyAlignment="1" applyProtection="1">
      <alignment vertical="center"/>
    </xf>
    <xf numFmtId="167" fontId="0" fillId="0" borderId="0" xfId="0" applyNumberFormat="1" applyFont="1" applyAlignment="1" applyProtection="1">
      <alignment vertical="center"/>
    </xf>
    <xf numFmtId="167" fontId="12" fillId="0" borderId="0" xfId="0" applyNumberFormat="1" applyFont="1" applyAlignment="1" applyProtection="1">
      <alignment vertical="center"/>
    </xf>
    <xf numFmtId="0" fontId="0" fillId="12" borderId="68" xfId="0" applyFont="1" applyFill="1" applyBorder="1" applyAlignment="1" applyProtection="1">
      <alignment horizontal="left" vertical="center"/>
      <protection locked="0"/>
    </xf>
    <xf numFmtId="0" fontId="0" fillId="45" borderId="186" xfId="0" applyFont="1" applyFill="1" applyBorder="1" applyAlignment="1" applyProtection="1">
      <alignment horizontal="left" vertical="center"/>
    </xf>
    <xf numFmtId="177" fontId="0" fillId="45" borderId="186" xfId="13" applyNumberFormat="1" applyFont="1" applyFill="1" applyBorder="1" applyAlignment="1" applyProtection="1">
      <alignment vertical="center"/>
    </xf>
    <xf numFmtId="177" fontId="0" fillId="45" borderId="190" xfId="13" applyNumberFormat="1" applyFont="1" applyFill="1" applyBorder="1" applyAlignment="1" applyProtection="1">
      <alignment vertical="center"/>
    </xf>
    <xf numFmtId="178" fontId="0" fillId="12" borderId="186" xfId="13" applyNumberFormat="1" applyFont="1" applyFill="1" applyBorder="1" applyAlignment="1" applyProtection="1">
      <alignment horizontal="center" vertical="center"/>
      <protection locked="0"/>
    </xf>
    <xf numFmtId="167" fontId="0" fillId="0" borderId="194" xfId="0" applyNumberFormat="1" applyFont="1" applyFill="1" applyBorder="1" applyAlignment="1" applyProtection="1">
      <alignment vertical="center"/>
    </xf>
    <xf numFmtId="167" fontId="12" fillId="34" borderId="195" xfId="0" applyNumberFormat="1" applyFont="1" applyFill="1" applyBorder="1" applyAlignment="1" applyProtection="1">
      <alignment horizontal="center" vertical="center" wrapText="1"/>
    </xf>
    <xf numFmtId="167" fontId="12" fillId="34" borderId="196" xfId="0" applyNumberFormat="1" applyFont="1" applyFill="1" applyBorder="1" applyAlignment="1" applyProtection="1">
      <alignment horizontal="center" vertical="center" wrapText="1"/>
    </xf>
    <xf numFmtId="167" fontId="12" fillId="34" borderId="197" xfId="0" applyNumberFormat="1" applyFont="1" applyFill="1" applyBorder="1" applyAlignment="1" applyProtection="1">
      <alignment horizontal="center" vertical="center" wrapText="1"/>
    </xf>
    <xf numFmtId="167" fontId="0" fillId="10" borderId="141" xfId="13" applyNumberFormat="1" applyFont="1" applyFill="1" applyBorder="1" applyAlignment="1" applyProtection="1">
      <alignment horizontal="right" vertical="center"/>
    </xf>
    <xf numFmtId="172" fontId="0" fillId="0" borderId="141" xfId="12" applyNumberFormat="1" applyFont="1" applyFill="1" applyBorder="1" applyAlignment="1" applyProtection="1">
      <alignment vertical="center"/>
    </xf>
    <xf numFmtId="167" fontId="0" fillId="0" borderId="128" xfId="0" applyNumberFormat="1" applyFont="1" applyFill="1" applyBorder="1" applyAlignment="1" applyProtection="1">
      <alignment vertical="center"/>
    </xf>
    <xf numFmtId="167" fontId="13" fillId="0" borderId="139" xfId="13" applyNumberFormat="1" applyFont="1" applyFill="1" applyBorder="1" applyAlignment="1" applyProtection="1">
      <alignment vertical="center"/>
    </xf>
    <xf numFmtId="167" fontId="0" fillId="10" borderId="139" xfId="13" applyNumberFormat="1" applyFont="1" applyFill="1" applyBorder="1" applyAlignment="1" applyProtection="1">
      <alignment horizontal="right" vertical="center"/>
    </xf>
    <xf numFmtId="167" fontId="12" fillId="39" borderId="200" xfId="0" applyNumberFormat="1" applyFont="1" applyFill="1" applyBorder="1" applyAlignment="1" applyProtection="1">
      <alignment vertical="center"/>
    </xf>
    <xf numFmtId="167" fontId="12" fillId="39" borderId="144" xfId="13" applyNumberFormat="1" applyFont="1" applyFill="1" applyBorder="1" applyAlignment="1" applyProtection="1">
      <alignment vertical="center"/>
    </xf>
    <xf numFmtId="167" fontId="12" fillId="39" borderId="144" xfId="13" applyNumberFormat="1" applyFont="1" applyFill="1" applyBorder="1" applyAlignment="1" applyProtection="1">
      <alignment horizontal="right" vertical="center"/>
    </xf>
    <xf numFmtId="167" fontId="0" fillId="0" borderId="139" xfId="13" applyNumberFormat="1" applyFont="1" applyFill="1" applyBorder="1" applyAlignment="1" applyProtection="1">
      <alignment vertical="center"/>
    </xf>
    <xf numFmtId="167" fontId="13" fillId="0" borderId="68" xfId="13" applyNumberFormat="1" applyFont="1" applyFill="1" applyBorder="1" applyAlignment="1" applyProtection="1">
      <alignment vertical="center"/>
    </xf>
    <xf numFmtId="167" fontId="13" fillId="0" borderId="140" xfId="13" applyNumberFormat="1" applyFont="1" applyFill="1" applyBorder="1" applyAlignment="1" applyProtection="1">
      <alignment vertical="center"/>
    </xf>
    <xf numFmtId="172" fontId="0" fillId="0" borderId="142" xfId="12" applyNumberFormat="1" applyFont="1" applyFill="1" applyBorder="1" applyAlignment="1" applyProtection="1">
      <alignment vertical="center"/>
    </xf>
    <xf numFmtId="172" fontId="0" fillId="0" borderId="143" xfId="12" applyNumberFormat="1" applyFont="1" applyFill="1" applyBorder="1" applyAlignment="1" applyProtection="1">
      <alignment vertical="center"/>
    </xf>
    <xf numFmtId="167" fontId="12" fillId="39" borderId="146" xfId="13" applyNumberFormat="1" applyFont="1" applyFill="1" applyBorder="1" applyAlignment="1" applyProtection="1">
      <alignment vertical="center"/>
    </xf>
    <xf numFmtId="167" fontId="12" fillId="39" borderId="145" xfId="13" applyNumberFormat="1" applyFont="1" applyFill="1" applyBorder="1" applyAlignment="1" applyProtection="1">
      <alignment vertical="center"/>
    </xf>
    <xf numFmtId="167" fontId="0" fillId="10" borderId="182" xfId="13" applyNumberFormat="1" applyFont="1" applyFill="1" applyBorder="1" applyAlignment="1" applyProtection="1">
      <alignment horizontal="right" vertical="center"/>
    </xf>
    <xf numFmtId="167" fontId="0" fillId="10" borderId="159" xfId="13" applyNumberFormat="1" applyFont="1" applyFill="1" applyBorder="1" applyAlignment="1" applyProtection="1">
      <alignment horizontal="right" vertical="center"/>
    </xf>
    <xf numFmtId="167" fontId="12" fillId="39" borderId="158" xfId="13" applyNumberFormat="1" applyFont="1" applyFill="1" applyBorder="1" applyAlignment="1" applyProtection="1">
      <alignment horizontal="right" vertical="center"/>
    </xf>
    <xf numFmtId="167" fontId="0" fillId="0" borderId="68" xfId="13" applyNumberFormat="1" applyFont="1" applyFill="1" applyBorder="1" applyAlignment="1" applyProtection="1">
      <alignment vertical="center"/>
    </xf>
    <xf numFmtId="167" fontId="13" fillId="43" borderId="74" xfId="13" applyNumberFormat="1" applyFont="1" applyFill="1" applyBorder="1" applyAlignment="1" applyProtection="1">
      <alignment vertical="center"/>
    </xf>
    <xf numFmtId="172" fontId="0" fillId="12" borderId="151" xfId="12" applyNumberFormat="1" applyFont="1" applyFill="1" applyBorder="1" applyAlignment="1" applyProtection="1">
      <alignment vertical="center"/>
      <protection locked="0"/>
    </xf>
    <xf numFmtId="167" fontId="12" fillId="39" borderId="137" xfId="13" applyNumberFormat="1" applyFont="1" applyFill="1" applyBorder="1" applyAlignment="1" applyProtection="1">
      <alignment vertical="center"/>
    </xf>
    <xf numFmtId="167" fontId="12" fillId="39" borderId="171" xfId="13" applyNumberFormat="1" applyFont="1" applyFill="1" applyBorder="1" applyAlignment="1" applyProtection="1">
      <alignment horizontal="right" vertical="center"/>
    </xf>
    <xf numFmtId="0" fontId="12" fillId="15" borderId="181" xfId="0" applyFont="1" applyFill="1" applyBorder="1" applyAlignment="1" applyProtection="1">
      <alignment horizontal="center" vertical="center" wrapText="1"/>
    </xf>
    <xf numFmtId="167" fontId="17" fillId="35" borderId="129" xfId="0" applyNumberFormat="1" applyFont="1" applyFill="1" applyBorder="1" applyAlignment="1" applyProtection="1">
      <alignment horizontal="center" vertical="center" wrapText="1"/>
    </xf>
    <xf numFmtId="167" fontId="17" fillId="35" borderId="210" xfId="0" applyNumberFormat="1" applyFont="1" applyFill="1" applyBorder="1" applyAlignment="1" applyProtection="1">
      <alignment horizontal="center" vertical="center" wrapText="1"/>
    </xf>
    <xf numFmtId="0" fontId="17" fillId="35" borderId="128" xfId="0" applyFont="1" applyFill="1" applyBorder="1" applyAlignment="1" applyProtection="1">
      <alignment horizontal="center" vertical="center" wrapText="1"/>
    </xf>
    <xf numFmtId="0" fontId="17" fillId="25" borderId="211" xfId="0" applyFont="1" applyFill="1" applyBorder="1" applyAlignment="1" applyProtection="1">
      <alignment horizontal="center" vertical="center" wrapText="1"/>
    </xf>
    <xf numFmtId="0" fontId="17" fillId="25" borderId="208" xfId="0" applyFont="1" applyFill="1" applyBorder="1" applyAlignment="1" applyProtection="1">
      <alignment horizontal="center" vertical="center" wrapText="1"/>
    </xf>
    <xf numFmtId="0" fontId="17" fillId="25" borderId="129" xfId="0" applyFont="1" applyFill="1" applyBorder="1" applyAlignment="1" applyProtection="1">
      <alignment horizontal="center" vertical="center" wrapText="1"/>
    </xf>
    <xf numFmtId="0" fontId="12" fillId="15" borderId="132" xfId="0" applyFont="1" applyFill="1" applyBorder="1" applyAlignment="1" applyProtection="1">
      <alignment horizontal="center" vertical="center" wrapText="1"/>
    </xf>
    <xf numFmtId="0" fontId="12" fillId="0" borderId="212" xfId="0" applyFont="1" applyFill="1" applyBorder="1" applyAlignment="1" applyProtection="1">
      <alignment horizontal="left" vertical="center"/>
    </xf>
    <xf numFmtId="167" fontId="0" fillId="29" borderId="188" xfId="13" applyNumberFormat="1" applyFont="1" applyFill="1" applyBorder="1" applyAlignment="1" applyProtection="1">
      <alignment vertical="center"/>
    </xf>
    <xf numFmtId="167" fontId="0" fillId="29" borderId="194" xfId="13" applyNumberFormat="1" applyFont="1" applyFill="1" applyBorder="1" applyAlignment="1" applyProtection="1">
      <alignment vertical="center"/>
    </xf>
    <xf numFmtId="167" fontId="12" fillId="29" borderId="213" xfId="13" applyNumberFormat="1" applyFont="1" applyFill="1" applyBorder="1" applyAlignment="1" applyProtection="1">
      <alignment vertical="center"/>
    </xf>
    <xf numFmtId="167" fontId="0" fillId="19" borderId="214" xfId="13" applyNumberFormat="1" applyFont="1" applyFill="1" applyBorder="1" applyAlignment="1" applyProtection="1">
      <alignment vertical="center"/>
    </xf>
    <xf numFmtId="167" fontId="0" fillId="19" borderId="215" xfId="13" applyNumberFormat="1" applyFont="1" applyFill="1" applyBorder="1" applyAlignment="1" applyProtection="1">
      <alignment vertical="center"/>
    </xf>
    <xf numFmtId="167" fontId="12" fillId="19" borderId="188" xfId="13" applyNumberFormat="1" applyFont="1" applyFill="1" applyBorder="1" applyAlignment="1" applyProtection="1">
      <alignment vertical="center"/>
    </xf>
    <xf numFmtId="167" fontId="12" fillId="0" borderId="216" xfId="13" applyNumberFormat="1" applyFont="1" applyFill="1" applyBorder="1" applyAlignment="1" applyProtection="1">
      <alignment vertical="center"/>
    </xf>
    <xf numFmtId="0" fontId="12" fillId="15" borderId="217" xfId="0" applyFont="1" applyFill="1" applyBorder="1" applyAlignment="1" applyProtection="1">
      <alignment horizontal="center" vertical="center"/>
    </xf>
    <xf numFmtId="167" fontId="21" fillId="15" borderId="218" xfId="13" applyNumberFormat="1" applyFont="1" applyFill="1" applyBorder="1" applyAlignment="1" applyProtection="1">
      <alignment vertical="center"/>
    </xf>
    <xf numFmtId="167" fontId="12" fillId="39" borderId="189" xfId="13" applyNumberFormat="1" applyFont="1" applyFill="1" applyBorder="1" applyAlignment="1" applyProtection="1">
      <alignment horizontal="right" vertical="center"/>
    </xf>
    <xf numFmtId="167" fontId="12" fillId="39" borderId="219" xfId="13" applyNumberFormat="1" applyFont="1" applyFill="1" applyBorder="1" applyAlignment="1" applyProtection="1">
      <alignment horizontal="right" vertical="center"/>
    </xf>
    <xf numFmtId="167" fontId="12" fillId="39" borderId="220" xfId="13" applyNumberFormat="1" applyFont="1" applyFill="1" applyBorder="1" applyAlignment="1" applyProtection="1">
      <alignment vertical="center"/>
    </xf>
    <xf numFmtId="167" fontId="12" fillId="39" borderId="152" xfId="13" applyNumberFormat="1" applyFont="1" applyFill="1" applyBorder="1" applyAlignment="1" applyProtection="1">
      <alignment horizontal="right" vertical="center"/>
    </xf>
    <xf numFmtId="178" fontId="0" fillId="12" borderId="158" xfId="13" applyNumberFormat="1" applyFont="1" applyFill="1" applyBorder="1" applyAlignment="1" applyProtection="1">
      <alignment horizontal="center" vertical="center"/>
      <protection locked="0"/>
    </xf>
    <xf numFmtId="0" fontId="0" fillId="0" borderId="169" xfId="0" applyFont="1" applyFill="1" applyBorder="1" applyAlignment="1" applyProtection="1">
      <alignment horizontal="left" vertical="center"/>
    </xf>
    <xf numFmtId="0" fontId="0" fillId="0" borderId="170" xfId="0" applyFont="1" applyFill="1" applyBorder="1" applyAlignment="1" applyProtection="1">
      <alignment horizontal="left" vertical="center"/>
    </xf>
    <xf numFmtId="0" fontId="0" fillId="0" borderId="171" xfId="0" applyFont="1" applyFill="1" applyBorder="1" applyAlignment="1" applyProtection="1">
      <alignment horizontal="left" vertical="center"/>
    </xf>
    <xf numFmtId="169" fontId="0" fillId="45" borderId="141" xfId="13" applyNumberFormat="1" applyFont="1" applyFill="1" applyBorder="1" applyAlignment="1" applyProtection="1">
      <alignment horizontal="center" vertical="center"/>
    </xf>
    <xf numFmtId="169" fontId="0" fillId="45" borderId="139" xfId="13" applyNumberFormat="1" applyFont="1" applyFill="1" applyBorder="1" applyAlignment="1" applyProtection="1">
      <alignment horizontal="center" vertical="center"/>
    </xf>
    <xf numFmtId="169" fontId="0" fillId="12" borderId="142" xfId="13" applyNumberFormat="1" applyFont="1" applyFill="1" applyBorder="1" applyAlignment="1" applyProtection="1">
      <alignment horizontal="center" vertical="center"/>
      <protection locked="0"/>
    </xf>
    <xf numFmtId="169" fontId="0" fillId="12" borderId="146" xfId="13" applyNumberFormat="1" applyFont="1" applyFill="1" applyBorder="1" applyAlignment="1" applyProtection="1">
      <alignment horizontal="center" vertical="center"/>
      <protection locked="0"/>
    </xf>
    <xf numFmtId="169" fontId="0" fillId="45" borderId="144" xfId="13" applyNumberFormat="1" applyFont="1" applyFill="1" applyBorder="1" applyAlignment="1" applyProtection="1">
      <alignment horizontal="center" vertical="center"/>
    </xf>
    <xf numFmtId="169" fontId="0" fillId="45" borderId="151" xfId="13" applyNumberFormat="1" applyFont="1" applyFill="1" applyBorder="1" applyAlignment="1" applyProtection="1">
      <alignment horizontal="center" vertical="center"/>
    </xf>
    <xf numFmtId="169" fontId="0" fillId="45" borderId="137" xfId="13" applyNumberFormat="1" applyFont="1" applyFill="1" applyBorder="1" applyAlignment="1" applyProtection="1">
      <alignment horizontal="center" vertical="center"/>
    </xf>
    <xf numFmtId="177" fontId="0" fillId="29" borderId="141" xfId="13" applyNumberFormat="1" applyFont="1" applyFill="1" applyBorder="1" applyAlignment="1" applyProtection="1">
      <alignment vertical="center"/>
    </xf>
    <xf numFmtId="177" fontId="0" fillId="29" borderId="139" xfId="13" applyNumberFormat="1" applyFont="1" applyFill="1" applyBorder="1" applyAlignment="1" applyProtection="1">
      <alignment vertical="center"/>
    </xf>
    <xf numFmtId="177" fontId="0" fillId="29" borderId="142" xfId="13" applyNumberFormat="1" applyFont="1" applyFill="1" applyBorder="1" applyAlignment="1" applyProtection="1">
      <alignment vertical="center"/>
    </xf>
    <xf numFmtId="177" fontId="0" fillId="29" borderId="143" xfId="13" applyNumberFormat="1" applyFont="1" applyFill="1" applyBorder="1" applyAlignment="1" applyProtection="1">
      <alignment vertical="center"/>
    </xf>
    <xf numFmtId="166" fontId="0" fillId="0" borderId="148" xfId="13" applyNumberFormat="1" applyFont="1" applyFill="1" applyBorder="1" applyAlignment="1" applyProtection="1">
      <alignment vertical="center"/>
    </xf>
    <xf numFmtId="166" fontId="0" fillId="0" borderId="227" xfId="13" applyNumberFormat="1" applyFont="1" applyFill="1" applyBorder="1" applyAlignment="1" applyProtection="1">
      <alignment vertical="center"/>
    </xf>
    <xf numFmtId="166" fontId="0" fillId="0" borderId="149" xfId="13" applyNumberFormat="1" applyFont="1" applyFill="1" applyBorder="1" applyAlignment="1" applyProtection="1">
      <alignment vertical="center"/>
    </xf>
    <xf numFmtId="167" fontId="0" fillId="29" borderId="141" xfId="13" applyNumberFormat="1" applyFont="1" applyFill="1" applyBorder="1" applyAlignment="1" applyProtection="1">
      <alignment vertical="center"/>
    </xf>
    <xf numFmtId="167" fontId="0" fillId="29" borderId="68" xfId="13" applyNumberFormat="1" applyFont="1" applyFill="1" applyBorder="1" applyAlignment="1" applyProtection="1">
      <alignment vertical="center"/>
    </xf>
    <xf numFmtId="167" fontId="0" fillId="29" borderId="139" xfId="13" applyNumberFormat="1" applyFont="1" applyFill="1" applyBorder="1" applyAlignment="1" applyProtection="1">
      <alignment vertical="center"/>
    </xf>
    <xf numFmtId="167" fontId="0" fillId="29" borderId="140" xfId="13" applyNumberFormat="1" applyFont="1" applyFill="1" applyBorder="1" applyAlignment="1" applyProtection="1">
      <alignment vertical="center"/>
    </xf>
    <xf numFmtId="167" fontId="0" fillId="29" borderId="142" xfId="13" applyNumberFormat="1" applyFont="1" applyFill="1" applyBorder="1" applyAlignment="1" applyProtection="1">
      <alignment vertical="center"/>
    </xf>
    <xf numFmtId="167" fontId="0" fillId="29" borderId="143" xfId="13" applyNumberFormat="1" applyFont="1" applyFill="1" applyBorder="1" applyAlignment="1" applyProtection="1">
      <alignment vertical="center"/>
    </xf>
    <xf numFmtId="167" fontId="0" fillId="29" borderId="146" xfId="13" applyNumberFormat="1" applyFont="1" applyFill="1" applyBorder="1" applyAlignment="1" applyProtection="1">
      <alignment vertical="center"/>
    </xf>
    <xf numFmtId="167" fontId="0" fillId="29" borderId="144" xfId="13" applyNumberFormat="1" applyFont="1" applyFill="1" applyBorder="1" applyAlignment="1" applyProtection="1">
      <alignment vertical="center"/>
    </xf>
    <xf numFmtId="167" fontId="0" fillId="29" borderId="145" xfId="13" applyNumberFormat="1" applyFont="1" applyFill="1" applyBorder="1" applyAlignment="1" applyProtection="1">
      <alignment vertical="center"/>
    </xf>
    <xf numFmtId="167" fontId="0" fillId="29" borderId="74" xfId="13" applyNumberFormat="1" applyFont="1" applyFill="1" applyBorder="1" applyAlignment="1" applyProtection="1">
      <alignment vertical="center"/>
    </xf>
    <xf numFmtId="167" fontId="0" fillId="29" borderId="151" xfId="13" applyNumberFormat="1" applyFont="1" applyFill="1" applyBorder="1" applyAlignment="1" applyProtection="1">
      <alignment vertical="center"/>
    </xf>
    <xf numFmtId="167" fontId="0" fillId="36" borderId="141" xfId="13" applyNumberFormat="1" applyFont="1" applyFill="1" applyBorder="1" applyAlignment="1" applyProtection="1">
      <alignment vertical="center"/>
    </xf>
    <xf numFmtId="167" fontId="0" fillId="36" borderId="68" xfId="13" applyNumberFormat="1" applyFont="1" applyFill="1" applyBorder="1" applyAlignment="1" applyProtection="1">
      <alignment vertical="center"/>
    </xf>
    <xf numFmtId="167" fontId="0" fillId="36" borderId="139" xfId="13" applyNumberFormat="1" applyFont="1" applyFill="1" applyBorder="1" applyAlignment="1" applyProtection="1">
      <alignment vertical="center"/>
    </xf>
    <xf numFmtId="167" fontId="0" fillId="36" borderId="142" xfId="13" applyNumberFormat="1" applyFont="1" applyFill="1" applyBorder="1" applyAlignment="1" applyProtection="1">
      <alignment vertical="center"/>
    </xf>
    <xf numFmtId="167" fontId="0" fillId="36" borderId="146" xfId="13" applyNumberFormat="1" applyFont="1" applyFill="1" applyBorder="1" applyAlignment="1" applyProtection="1">
      <alignment vertical="center"/>
    </xf>
    <xf numFmtId="167" fontId="0" fillId="36" borderId="144" xfId="13" applyNumberFormat="1" applyFont="1" applyFill="1" applyBorder="1" applyAlignment="1" applyProtection="1">
      <alignment vertical="center"/>
    </xf>
    <xf numFmtId="167" fontId="0" fillId="36" borderId="74" xfId="13" applyNumberFormat="1" applyFont="1" applyFill="1" applyBorder="1" applyAlignment="1" applyProtection="1">
      <alignment vertical="center"/>
    </xf>
    <xf numFmtId="167" fontId="0" fillId="36" borderId="151" xfId="13" applyNumberFormat="1" applyFont="1" applyFill="1" applyBorder="1" applyAlignment="1" applyProtection="1">
      <alignment vertical="center"/>
    </xf>
    <xf numFmtId="167" fontId="0" fillId="36" borderId="137" xfId="13" applyNumberFormat="1" applyFont="1" applyFill="1" applyBorder="1" applyAlignment="1" applyProtection="1">
      <alignment vertical="center"/>
    </xf>
    <xf numFmtId="167" fontId="0" fillId="0" borderId="141" xfId="13" applyNumberFormat="1" applyFont="1" applyFill="1" applyBorder="1" applyAlignment="1" applyProtection="1">
      <alignment vertical="center"/>
    </xf>
    <xf numFmtId="167" fontId="0" fillId="0" borderId="142" xfId="13" applyNumberFormat="1" applyFont="1" applyFill="1" applyBorder="1" applyAlignment="1" applyProtection="1">
      <alignment vertical="center"/>
    </xf>
    <xf numFmtId="167" fontId="0" fillId="0" borderId="146" xfId="13" applyNumberFormat="1" applyFont="1" applyFill="1" applyBorder="1" applyAlignment="1" applyProtection="1">
      <alignment vertical="center"/>
    </xf>
    <xf numFmtId="167" fontId="0" fillId="0" borderId="144" xfId="13" applyNumberFormat="1" applyFont="1" applyFill="1" applyBorder="1" applyAlignment="1" applyProtection="1">
      <alignment vertical="center"/>
    </xf>
    <xf numFmtId="167" fontId="0" fillId="0" borderId="74" xfId="13" applyNumberFormat="1" applyFont="1" applyFill="1" applyBorder="1" applyAlignment="1" applyProtection="1">
      <alignment vertical="center"/>
    </xf>
    <xf numFmtId="167" fontId="0" fillId="0" borderId="151" xfId="13" applyNumberFormat="1" applyFont="1" applyFill="1" applyBorder="1" applyAlignment="1" applyProtection="1">
      <alignment vertical="center"/>
    </xf>
    <xf numFmtId="167" fontId="0" fillId="0" borderId="137" xfId="13" applyNumberFormat="1" applyFont="1" applyFill="1" applyBorder="1" applyAlignment="1" applyProtection="1">
      <alignment vertical="center"/>
    </xf>
    <xf numFmtId="169" fontId="0" fillId="0" borderId="141" xfId="0" applyNumberFormat="1" applyFont="1" applyFill="1" applyBorder="1" applyAlignment="1" applyProtection="1">
      <alignment horizontal="center" vertical="center"/>
    </xf>
    <xf numFmtId="169" fontId="0" fillId="0" borderId="68" xfId="0" applyNumberFormat="1" applyFont="1" applyFill="1" applyBorder="1" applyAlignment="1" applyProtection="1">
      <alignment horizontal="center" vertical="center"/>
    </xf>
    <xf numFmtId="169" fontId="0" fillId="0" borderId="139" xfId="0" applyNumberFormat="1" applyFont="1" applyFill="1" applyBorder="1" applyAlignment="1" applyProtection="1">
      <alignment horizontal="center" vertical="center"/>
    </xf>
    <xf numFmtId="169" fontId="0" fillId="0" borderId="140" xfId="0" applyNumberFormat="1" applyFont="1" applyFill="1" applyBorder="1" applyAlignment="1" applyProtection="1">
      <alignment horizontal="center" vertical="center"/>
    </xf>
    <xf numFmtId="169" fontId="0" fillId="0" borderId="142" xfId="0" applyNumberFormat="1" applyFont="1" applyFill="1" applyBorder="1" applyAlignment="1" applyProtection="1">
      <alignment horizontal="center" vertical="center"/>
    </xf>
    <xf numFmtId="169" fontId="0" fillId="0" borderId="143" xfId="0" applyNumberFormat="1" applyFont="1" applyFill="1" applyBorder="1" applyAlignment="1" applyProtection="1">
      <alignment horizontal="center" vertical="center"/>
    </xf>
    <xf numFmtId="169" fontId="0" fillId="0" borderId="146" xfId="0" applyNumberFormat="1" applyFont="1" applyFill="1" applyBorder="1" applyAlignment="1" applyProtection="1">
      <alignment horizontal="center" vertical="center"/>
    </xf>
    <xf numFmtId="169" fontId="0" fillId="0" borderId="144" xfId="0" applyNumberFormat="1" applyFont="1" applyFill="1" applyBorder="1" applyAlignment="1" applyProtection="1">
      <alignment horizontal="center" vertical="center"/>
    </xf>
    <xf numFmtId="169" fontId="0" fillId="0" borderId="145" xfId="0" applyNumberFormat="1" applyFont="1" applyFill="1" applyBorder="1" applyAlignment="1" applyProtection="1">
      <alignment horizontal="center" vertical="center"/>
    </xf>
    <xf numFmtId="167" fontId="12" fillId="34" borderId="228" xfId="0" applyNumberFormat="1" applyFont="1" applyFill="1" applyBorder="1" applyAlignment="1" applyProtection="1">
      <alignment horizontal="center" vertical="center" wrapText="1"/>
    </xf>
    <xf numFmtId="167" fontId="12" fillId="34" borderId="229" xfId="0" applyNumberFormat="1" applyFont="1" applyFill="1" applyBorder="1" applyAlignment="1" applyProtection="1">
      <alignment horizontal="center" vertical="center" wrapText="1"/>
    </xf>
    <xf numFmtId="167" fontId="12" fillId="34" borderId="230" xfId="0" applyNumberFormat="1" applyFont="1" applyFill="1" applyBorder="1" applyAlignment="1" applyProtection="1">
      <alignment horizontal="center" vertical="center" wrapText="1"/>
    </xf>
    <xf numFmtId="167" fontId="12" fillId="15" borderId="231" xfId="0" applyNumberFormat="1" applyFont="1" applyFill="1" applyBorder="1" applyAlignment="1" applyProtection="1">
      <alignment horizontal="center" vertical="center" wrapText="1"/>
    </xf>
    <xf numFmtId="167" fontId="12" fillId="15" borderId="229" xfId="0" applyNumberFormat="1" applyFont="1" applyFill="1" applyBorder="1" applyAlignment="1" applyProtection="1">
      <alignment horizontal="center" vertical="center" wrapText="1"/>
    </xf>
    <xf numFmtId="167" fontId="12" fillId="15" borderId="232" xfId="0" applyNumberFormat="1" applyFont="1" applyFill="1" applyBorder="1" applyAlignment="1" applyProtection="1">
      <alignment horizontal="center" vertical="center" wrapText="1"/>
    </xf>
    <xf numFmtId="0" fontId="12" fillId="15" borderId="228" xfId="0" applyFont="1" applyFill="1" applyBorder="1" applyAlignment="1" applyProtection="1">
      <alignment horizontal="center" vertical="center"/>
    </xf>
    <xf numFmtId="0" fontId="12" fillId="15" borderId="233" xfId="0" applyFont="1" applyFill="1" applyBorder="1" applyAlignment="1" applyProtection="1">
      <alignment horizontal="center" vertical="center"/>
    </xf>
    <xf numFmtId="166" fontId="0" fillId="0" borderId="234" xfId="13" applyNumberFormat="1" applyFont="1" applyFill="1" applyBorder="1" applyAlignment="1" applyProtection="1">
      <alignment vertical="center"/>
    </xf>
    <xf numFmtId="166" fontId="0" fillId="0" borderId="235" xfId="13" applyNumberFormat="1" applyFont="1" applyFill="1" applyBorder="1" applyAlignment="1" applyProtection="1">
      <alignment vertical="center"/>
    </xf>
    <xf numFmtId="166" fontId="0" fillId="0" borderId="236" xfId="13" applyNumberFormat="1" applyFont="1" applyFill="1" applyBorder="1" applyAlignment="1" applyProtection="1">
      <alignment vertical="center"/>
    </xf>
    <xf numFmtId="179" fontId="13" fillId="36" borderId="68" xfId="16" applyNumberFormat="1" applyFill="1" applyBorder="1" applyAlignment="1" applyProtection="1">
      <alignment horizontal="center" vertical="center"/>
    </xf>
    <xf numFmtId="179" fontId="13" fillId="36" borderId="143" xfId="16" applyNumberFormat="1" applyFill="1" applyBorder="1" applyAlignment="1" applyProtection="1">
      <alignment horizontal="center" vertical="center"/>
    </xf>
    <xf numFmtId="167" fontId="0" fillId="29" borderId="169" xfId="13" applyNumberFormat="1" applyFont="1" applyFill="1" applyBorder="1" applyAlignment="1" applyProtection="1">
      <alignment vertical="center"/>
    </xf>
    <xf numFmtId="167" fontId="0" fillId="29" borderId="170" xfId="13" applyNumberFormat="1" applyFont="1" applyFill="1" applyBorder="1" applyAlignment="1" applyProtection="1">
      <alignment vertical="center"/>
    </xf>
    <xf numFmtId="167" fontId="0" fillId="29" borderId="171" xfId="13" applyNumberFormat="1" applyFont="1" applyFill="1" applyBorder="1" applyAlignment="1" applyProtection="1">
      <alignment vertical="center"/>
    </xf>
    <xf numFmtId="167" fontId="13" fillId="0" borderId="74" xfId="13" applyNumberFormat="1" applyFont="1" applyFill="1" applyBorder="1" applyAlignment="1" applyProtection="1">
      <alignment vertical="center"/>
    </xf>
    <xf numFmtId="167" fontId="12" fillId="39" borderId="147" xfId="13" applyNumberFormat="1" applyFont="1" applyFill="1" applyBorder="1" applyAlignment="1" applyProtection="1">
      <alignment vertical="center"/>
    </xf>
    <xf numFmtId="167" fontId="12" fillId="39" borderId="219" xfId="13" applyNumberFormat="1" applyFont="1" applyFill="1" applyBorder="1" applyAlignment="1" applyProtection="1">
      <alignment vertical="center"/>
    </xf>
    <xf numFmtId="167" fontId="12" fillId="39" borderId="163" xfId="13" applyNumberFormat="1" applyFont="1" applyFill="1" applyBorder="1" applyAlignment="1" applyProtection="1">
      <alignment vertical="center"/>
    </xf>
    <xf numFmtId="172" fontId="0" fillId="0" borderId="151" xfId="12" applyNumberFormat="1" applyFont="1" applyFill="1" applyBorder="1" applyAlignment="1" applyProtection="1">
      <alignment vertical="center"/>
    </xf>
    <xf numFmtId="167" fontId="0" fillId="0" borderId="121" xfId="13" applyNumberFormat="1" applyFont="1" applyFill="1" applyBorder="1" applyAlignment="1" applyProtection="1">
      <alignment vertical="center"/>
    </xf>
    <xf numFmtId="167" fontId="0" fillId="0" borderId="199" xfId="13" applyNumberFormat="1" applyFont="1" applyFill="1" applyBorder="1" applyAlignment="1" applyProtection="1">
      <alignment vertical="center"/>
    </xf>
    <xf numFmtId="167" fontId="0" fillId="0" borderId="176" xfId="13" applyNumberFormat="1" applyFont="1" applyFill="1" applyBorder="1" applyAlignment="1" applyProtection="1">
      <alignment vertical="center"/>
    </xf>
    <xf numFmtId="167" fontId="21" fillId="31" borderId="223" xfId="13" applyNumberFormat="1" applyFont="1" applyFill="1" applyBorder="1" applyAlignment="1" applyProtection="1">
      <alignment vertical="center" wrapText="1"/>
    </xf>
    <xf numFmtId="167" fontId="21" fillId="31" borderId="186" xfId="13" applyNumberFormat="1" applyFont="1" applyFill="1" applyBorder="1" applyAlignment="1" applyProtection="1">
      <alignment vertical="center" wrapText="1"/>
    </xf>
    <xf numFmtId="167" fontId="21" fillId="31" borderId="187" xfId="13" applyNumberFormat="1" applyFont="1" applyFill="1" applyBorder="1" applyAlignment="1" applyProtection="1">
      <alignment vertical="center" wrapText="1"/>
    </xf>
    <xf numFmtId="167" fontId="21" fillId="31" borderId="190" xfId="13" applyNumberFormat="1" applyFont="1" applyFill="1" applyBorder="1" applyAlignment="1" applyProtection="1">
      <alignment vertical="center" wrapText="1"/>
    </xf>
    <xf numFmtId="167" fontId="21" fillId="31" borderId="238" xfId="13" applyNumberFormat="1" applyFont="1" applyFill="1" applyBorder="1" applyAlignment="1" applyProtection="1">
      <alignment vertical="center" wrapText="1"/>
    </xf>
    <xf numFmtId="167" fontId="21" fillId="31" borderId="239" xfId="13" applyNumberFormat="1" applyFont="1" applyFill="1" applyBorder="1" applyAlignment="1" applyProtection="1">
      <alignment vertical="center" wrapText="1"/>
    </xf>
    <xf numFmtId="167" fontId="21" fillId="31" borderId="240" xfId="13" applyNumberFormat="1" applyFont="1" applyFill="1" applyBorder="1" applyAlignment="1" applyProtection="1">
      <alignment vertical="center" wrapText="1"/>
    </xf>
    <xf numFmtId="167" fontId="21" fillId="31" borderId="224" xfId="13" applyNumberFormat="1" applyFont="1" applyFill="1" applyBorder="1" applyAlignment="1" applyProtection="1">
      <alignment vertical="center" wrapText="1"/>
    </xf>
    <xf numFmtId="167" fontId="21" fillId="31" borderId="167" xfId="13" applyNumberFormat="1" applyFont="1" applyFill="1" applyBorder="1" applyAlignment="1" applyProtection="1">
      <alignment vertical="center" wrapText="1"/>
    </xf>
    <xf numFmtId="176" fontId="22" fillId="26" borderId="99" xfId="0" applyNumberFormat="1" applyFont="1" applyFill="1" applyBorder="1" applyAlignment="1" applyProtection="1">
      <alignment horizontal="right" vertical="center"/>
    </xf>
    <xf numFmtId="9" fontId="0" fillId="12" borderId="147" xfId="0" applyNumberFormat="1" applyFont="1" applyFill="1" applyBorder="1" applyAlignment="1" applyProtection="1">
      <alignment horizontal="center" vertical="center"/>
      <protection locked="0"/>
    </xf>
    <xf numFmtId="176" fontId="0" fillId="0" borderId="220" xfId="0" applyNumberFormat="1" applyFont="1" applyFill="1" applyBorder="1" applyAlignment="1" applyProtection="1">
      <alignment horizontal="right" vertical="center"/>
    </xf>
    <xf numFmtId="176" fontId="0" fillId="0" borderId="163" xfId="0" applyNumberFormat="1" applyFont="1" applyFill="1" applyBorder="1" applyAlignment="1" applyProtection="1">
      <alignment horizontal="right" vertical="center"/>
    </xf>
    <xf numFmtId="168" fontId="0" fillId="12" borderId="241" xfId="16" applyFont="1" applyFill="1" applyBorder="1" applyAlignment="1" applyProtection="1">
      <alignment horizontal="center" vertical="center"/>
      <protection locked="0"/>
    </xf>
    <xf numFmtId="168" fontId="14" fillId="19" borderId="71" xfId="16" applyFont="1" applyFill="1" applyBorder="1" applyAlignment="1" applyProtection="1">
      <alignment horizontal="center" vertical="center"/>
    </xf>
    <xf numFmtId="176" fontId="22" fillId="26" borderId="72" xfId="0" applyNumberFormat="1" applyFont="1" applyFill="1" applyBorder="1" applyAlignment="1" applyProtection="1">
      <alignment horizontal="right" vertical="center"/>
    </xf>
    <xf numFmtId="0" fontId="17" fillId="33" borderId="32" xfId="0" applyFont="1" applyFill="1" applyBorder="1" applyAlignment="1" applyProtection="1">
      <alignment horizontal="center" vertical="center" wrapText="1"/>
    </xf>
    <xf numFmtId="0" fontId="17" fillId="48" borderId="33" xfId="0" applyFont="1" applyFill="1" applyBorder="1" applyAlignment="1" applyProtection="1">
      <alignment vertical="center"/>
    </xf>
    <xf numFmtId="166" fontId="17" fillId="48" borderId="141" xfId="13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2" fillId="20" borderId="183" xfId="0" applyFont="1" applyFill="1" applyBorder="1" applyAlignment="1">
      <alignment horizontal="center" vertical="center" wrapText="1"/>
    </xf>
    <xf numFmtId="167" fontId="10" fillId="20" borderId="183" xfId="13" applyNumberFormat="1" applyFont="1" applyFill="1" applyBorder="1" applyAlignment="1">
      <alignment horizontal="center" vertical="center"/>
    </xf>
    <xf numFmtId="1" fontId="0" fillId="0" borderId="183" xfId="0" applyNumberFormat="1" applyBorder="1" applyAlignment="1">
      <alignment horizontal="center" vertical="center" wrapText="1"/>
    </xf>
    <xf numFmtId="174" fontId="18" fillId="0" borderId="194" xfId="0" applyNumberFormat="1" applyFont="1" applyBorder="1" applyAlignment="1">
      <alignment horizontal="left"/>
    </xf>
    <xf numFmtId="1" fontId="0" fillId="0" borderId="185" xfId="0" applyNumberFormat="1" applyBorder="1"/>
    <xf numFmtId="167" fontId="10" fillId="23" borderId="183" xfId="13" applyNumberFormat="1" applyFont="1" applyFill="1" applyBorder="1" applyAlignment="1">
      <alignment horizontal="center" vertical="center"/>
    </xf>
    <xf numFmtId="1" fontId="0" fillId="43" borderId="183" xfId="0" applyNumberFormat="1" applyFill="1" applyBorder="1" applyAlignment="1">
      <alignment horizontal="center" vertical="center" wrapText="1"/>
    </xf>
    <xf numFmtId="167" fontId="12" fillId="43" borderId="141" xfId="13" applyNumberFormat="1" applyFont="1" applyFill="1" applyBorder="1" applyAlignment="1">
      <alignment horizontal="center" vertical="center"/>
    </xf>
    <xf numFmtId="167" fontId="0" fillId="28" borderId="141" xfId="13" applyNumberFormat="1" applyFont="1" applyFill="1" applyBorder="1" applyAlignment="1">
      <alignment vertical="center"/>
    </xf>
    <xf numFmtId="0" fontId="12" fillId="43" borderId="141" xfId="0" applyFont="1" applyFill="1" applyBorder="1" applyAlignment="1">
      <alignment horizontal="center" vertical="center"/>
    </xf>
    <xf numFmtId="180" fontId="13" fillId="28" borderId="141" xfId="13" applyNumberFormat="1" applyFill="1" applyBorder="1"/>
    <xf numFmtId="177" fontId="0" fillId="12" borderId="20" xfId="13" applyNumberFormat="1" applyFont="1" applyFill="1" applyBorder="1" applyAlignment="1" applyProtection="1">
      <alignment vertical="center"/>
      <protection locked="0"/>
    </xf>
    <xf numFmtId="176" fontId="0" fillId="29" borderId="246" xfId="0" applyNumberFormat="1" applyFont="1" applyFill="1" applyBorder="1" applyAlignment="1" applyProtection="1">
      <alignment vertical="center"/>
    </xf>
    <xf numFmtId="176" fontId="0" fillId="29" borderId="16" xfId="0" applyNumberFormat="1" applyFont="1" applyFill="1" applyBorder="1" applyAlignment="1" applyProtection="1">
      <alignment horizontal="right" vertical="center"/>
    </xf>
    <xf numFmtId="176" fontId="0" fillId="29" borderId="29" xfId="0" applyNumberFormat="1" applyFont="1" applyFill="1" applyBorder="1" applyAlignment="1" applyProtection="1">
      <alignment horizontal="right" vertical="center"/>
    </xf>
    <xf numFmtId="0" fontId="0" fillId="12" borderId="199" xfId="0" applyFont="1" applyFill="1" applyBorder="1" applyAlignment="1" applyProtection="1">
      <alignment horizontal="left" vertical="center"/>
      <protection locked="0"/>
    </xf>
    <xf numFmtId="0" fontId="0" fillId="12" borderId="250" xfId="0" applyFont="1" applyFill="1" applyBorder="1" applyAlignment="1" applyProtection="1">
      <alignment horizontal="left" vertical="center"/>
      <protection locked="0"/>
    </xf>
    <xf numFmtId="0" fontId="0" fillId="12" borderId="145" xfId="0" applyFont="1" applyFill="1" applyBorder="1" applyAlignment="1" applyProtection="1">
      <alignment horizontal="left" vertical="center"/>
      <protection locked="0"/>
    </xf>
    <xf numFmtId="0" fontId="12" fillId="16" borderId="0" xfId="0" applyFont="1" applyFill="1" applyBorder="1" applyAlignment="1" applyProtection="1">
      <alignment horizontal="center" vertical="center" wrapText="1"/>
    </xf>
    <xf numFmtId="177" fontId="0" fillId="29" borderId="20" xfId="13" applyNumberFormat="1" applyFont="1" applyFill="1" applyBorder="1" applyAlignment="1" applyProtection="1">
      <alignment vertical="center"/>
    </xf>
    <xf numFmtId="177" fontId="0" fillId="29" borderId="58" xfId="13" applyNumberFormat="1" applyFont="1" applyFill="1" applyBorder="1" applyAlignment="1" applyProtection="1">
      <alignment vertical="center"/>
    </xf>
    <xf numFmtId="177" fontId="0" fillId="29" borderId="246" xfId="13" applyNumberFormat="1" applyFont="1" applyFill="1" applyBorder="1" applyAlignment="1" applyProtection="1">
      <alignment vertical="center"/>
    </xf>
    <xf numFmtId="178" fontId="12" fillId="29" borderId="187" xfId="0" applyNumberFormat="1" applyFont="1" applyFill="1" applyBorder="1" applyAlignment="1">
      <alignment vertical="center"/>
    </xf>
    <xf numFmtId="178" fontId="12" fillId="29" borderId="145" xfId="0" applyNumberFormat="1" applyFont="1" applyFill="1" applyBorder="1" applyAlignment="1">
      <alignment vertical="center"/>
    </xf>
    <xf numFmtId="0" fontId="0" fillId="0" borderId="251" xfId="0" applyFont="1" applyFill="1" applyBorder="1" applyAlignment="1" applyProtection="1">
      <alignment horizontal="left" vertical="center"/>
    </xf>
    <xf numFmtId="0" fontId="12" fillId="0" borderId="252" xfId="0" applyFont="1" applyFill="1" applyBorder="1" applyAlignment="1" applyProtection="1">
      <alignment horizontal="left" vertical="center"/>
    </xf>
    <xf numFmtId="167" fontId="0" fillId="10" borderId="258" xfId="13" applyNumberFormat="1" applyFont="1" applyFill="1" applyBorder="1" applyAlignment="1" applyProtection="1">
      <alignment horizontal="right" vertical="center"/>
    </xf>
    <xf numFmtId="0" fontId="12" fillId="21" borderId="267" xfId="0" applyFont="1" applyFill="1" applyBorder="1" applyAlignment="1">
      <alignment horizontal="center" vertical="center"/>
    </xf>
    <xf numFmtId="167" fontId="0" fillId="10" borderId="259" xfId="13" applyNumberFormat="1" applyFont="1" applyFill="1" applyBorder="1" applyAlignment="1" applyProtection="1">
      <alignment horizontal="right" vertical="center"/>
    </xf>
    <xf numFmtId="167" fontId="12" fillId="39" borderId="145" xfId="13" applyNumberFormat="1" applyFont="1" applyFill="1" applyBorder="1" applyAlignment="1" applyProtection="1">
      <alignment horizontal="right" vertical="center"/>
    </xf>
    <xf numFmtId="167" fontId="0" fillId="10" borderId="249" xfId="13" applyNumberFormat="1" applyFont="1" applyFill="1" applyBorder="1" applyAlignment="1" applyProtection="1">
      <alignment horizontal="right" vertical="center"/>
    </xf>
    <xf numFmtId="167" fontId="0" fillId="10" borderId="257" xfId="13" applyNumberFormat="1" applyFont="1" applyFill="1" applyBorder="1" applyAlignment="1" applyProtection="1">
      <alignment horizontal="right" vertical="center"/>
    </xf>
    <xf numFmtId="0" fontId="0" fillId="12" borderId="68" xfId="0" applyFont="1" applyFill="1" applyBorder="1" applyAlignment="1" applyProtection="1">
      <alignment horizontal="left" vertical="center"/>
      <protection locked="0"/>
    </xf>
    <xf numFmtId="1" fontId="0" fillId="0" borderId="268" xfId="0" applyNumberFormat="1" applyBorder="1" applyAlignment="1">
      <alignment horizontal="center"/>
    </xf>
    <xf numFmtId="164" fontId="0" fillId="45" borderId="249" xfId="31" applyFont="1" applyFill="1" applyBorder="1" applyAlignment="1" applyProtection="1">
      <alignment horizontal="center" vertical="center"/>
    </xf>
    <xf numFmtId="174" fontId="18" fillId="0" borderId="194" xfId="0" applyNumberFormat="1" applyFont="1" applyBorder="1" applyAlignment="1">
      <alignment horizontal="left" wrapText="1"/>
    </xf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right" vertical="center"/>
    </xf>
    <xf numFmtId="177" fontId="0" fillId="12" borderId="249" xfId="13" applyNumberFormat="1" applyFont="1" applyFill="1" applyBorder="1" applyAlignment="1" applyProtection="1">
      <alignment vertical="center"/>
      <protection locked="0"/>
    </xf>
    <xf numFmtId="0" fontId="0" fillId="12" borderId="144" xfId="0" applyFont="1" applyFill="1" applyBorder="1" applyAlignment="1" applyProtection="1">
      <alignment horizontal="left" vertical="center"/>
      <protection locked="0"/>
    </xf>
    <xf numFmtId="177" fontId="0" fillId="12" borderId="144" xfId="13" applyNumberFormat="1" applyFont="1" applyFill="1" applyBorder="1" applyAlignment="1" applyProtection="1">
      <alignment vertical="center"/>
      <protection locked="0"/>
    </xf>
    <xf numFmtId="0" fontId="0" fillId="12" borderId="249" xfId="0" applyFont="1" applyFill="1" applyBorder="1" applyAlignment="1" applyProtection="1">
      <alignment horizontal="left" vertical="center"/>
      <protection locked="0"/>
    </xf>
    <xf numFmtId="167" fontId="0" fillId="29" borderId="146" xfId="13" applyNumberFormat="1" applyFont="1" applyFill="1" applyBorder="1" applyAlignment="1" applyProtection="1">
      <alignment vertical="center"/>
    </xf>
    <xf numFmtId="167" fontId="0" fillId="29" borderId="144" xfId="13" applyNumberFormat="1" applyFont="1" applyFill="1" applyBorder="1" applyAlignment="1" applyProtection="1">
      <alignment vertical="center"/>
    </xf>
    <xf numFmtId="167" fontId="0" fillId="29" borderId="145" xfId="13" applyNumberFormat="1" applyFont="1" applyFill="1" applyBorder="1" applyAlignment="1" applyProtection="1">
      <alignment vertical="center"/>
    </xf>
    <xf numFmtId="167" fontId="0" fillId="29" borderId="137" xfId="13" applyNumberFormat="1" applyFont="1" applyFill="1" applyBorder="1" applyAlignment="1" applyProtection="1">
      <alignment vertical="center"/>
    </xf>
    <xf numFmtId="179" fontId="13" fillId="36" borderId="146" xfId="16" applyNumberFormat="1" applyFill="1" applyBorder="1" applyAlignment="1" applyProtection="1">
      <alignment horizontal="center" vertical="center"/>
    </xf>
    <xf numFmtId="179" fontId="13" fillId="36" borderId="144" xfId="16" applyNumberFormat="1" applyFill="1" applyBorder="1" applyAlignment="1" applyProtection="1">
      <alignment horizontal="center" vertical="center"/>
    </xf>
    <xf numFmtId="177" fontId="0" fillId="12" borderId="262" xfId="13" applyNumberFormat="1" applyFont="1" applyFill="1" applyBorder="1" applyAlignment="1" applyProtection="1">
      <alignment vertical="center"/>
      <protection locked="0"/>
    </xf>
    <xf numFmtId="176" fontId="0" fillId="29" borderId="250" xfId="0" applyNumberFormat="1" applyFont="1" applyFill="1" applyBorder="1" applyAlignment="1" applyProtection="1">
      <alignment vertical="center"/>
    </xf>
    <xf numFmtId="176" fontId="0" fillId="29" borderId="145" xfId="0" applyNumberFormat="1" applyFont="1" applyFill="1" applyBorder="1" applyAlignment="1" applyProtection="1">
      <alignment vertical="center"/>
    </xf>
    <xf numFmtId="176" fontId="0" fillId="29" borderId="178" xfId="0" applyNumberFormat="1" applyFont="1" applyFill="1" applyBorder="1" applyAlignment="1" applyProtection="1">
      <alignment horizontal="right" vertical="center"/>
    </xf>
    <xf numFmtId="0" fontId="0" fillId="12" borderId="146" xfId="0" applyFont="1" applyFill="1" applyBorder="1" applyAlignment="1" applyProtection="1">
      <alignment horizontal="left" vertical="center"/>
      <protection locked="0"/>
    </xf>
    <xf numFmtId="167" fontId="0" fillId="12" borderId="145" xfId="13" applyNumberFormat="1" applyFont="1" applyFill="1" applyBorder="1" applyAlignment="1" applyProtection="1">
      <alignment vertical="center"/>
      <protection locked="0"/>
    </xf>
    <xf numFmtId="179" fontId="13" fillId="36" borderId="145" xfId="16" applyNumberFormat="1" applyFill="1" applyBorder="1" applyAlignment="1" applyProtection="1">
      <alignment horizontal="center" vertical="center"/>
    </xf>
    <xf numFmtId="167" fontId="0" fillId="53" borderId="68" xfId="13" applyNumberFormat="1" applyFont="1" applyFill="1" applyBorder="1" applyAlignment="1" applyProtection="1">
      <alignment vertical="center"/>
    </xf>
    <xf numFmtId="167" fontId="0" fillId="53" borderId="139" xfId="13" applyNumberFormat="1" applyFont="1" applyFill="1" applyBorder="1" applyAlignment="1" applyProtection="1">
      <alignment vertical="center"/>
    </xf>
    <xf numFmtId="167" fontId="0" fillId="53" borderId="74" xfId="13" applyNumberFormat="1" applyFont="1" applyFill="1" applyBorder="1" applyAlignment="1" applyProtection="1">
      <alignment vertical="center"/>
    </xf>
    <xf numFmtId="167" fontId="0" fillId="1" borderId="68" xfId="13" applyNumberFormat="1" applyFont="1" applyFill="1" applyBorder="1" applyAlignment="1" applyProtection="1">
      <alignment vertical="center"/>
    </xf>
    <xf numFmtId="167" fontId="0" fillId="1" borderId="139" xfId="13" applyNumberFormat="1" applyFont="1" applyFill="1" applyBorder="1" applyAlignment="1" applyProtection="1">
      <alignment vertical="center"/>
    </xf>
    <xf numFmtId="167" fontId="0" fillId="1" borderId="74" xfId="13" applyNumberFormat="1" applyFont="1" applyFill="1" applyBorder="1" applyAlignment="1" applyProtection="1">
      <alignment vertical="center"/>
    </xf>
    <xf numFmtId="169" fontId="0" fillId="1" borderId="68" xfId="0" applyNumberFormat="1" applyFont="1" applyFill="1" applyBorder="1" applyAlignment="1" applyProtection="1">
      <alignment horizontal="center" vertical="center"/>
    </xf>
    <xf numFmtId="169" fontId="0" fillId="1" borderId="139" xfId="0" applyNumberFormat="1" applyFont="1" applyFill="1" applyBorder="1" applyAlignment="1" applyProtection="1">
      <alignment horizontal="center" vertical="center"/>
    </xf>
    <xf numFmtId="169" fontId="0" fillId="1" borderId="140" xfId="0" applyNumberFormat="1" applyFont="1" applyFill="1" applyBorder="1" applyAlignment="1" applyProtection="1">
      <alignment horizontal="center" vertical="center"/>
    </xf>
    <xf numFmtId="167" fontId="0" fillId="53" borderId="142" xfId="13" applyNumberFormat="1" applyFont="1" applyFill="1" applyBorder="1" applyAlignment="1" applyProtection="1">
      <alignment vertical="center"/>
    </xf>
    <xf numFmtId="167" fontId="0" fillId="53" borderId="141" xfId="13" applyNumberFormat="1" applyFont="1" applyFill="1" applyBorder="1" applyAlignment="1" applyProtection="1">
      <alignment vertical="center"/>
    </xf>
    <xf numFmtId="167" fontId="0" fillId="53" borderId="151" xfId="13" applyNumberFormat="1" applyFont="1" applyFill="1" applyBorder="1" applyAlignment="1" applyProtection="1">
      <alignment vertical="center"/>
    </xf>
    <xf numFmtId="167" fontId="0" fillId="1" borderId="142" xfId="13" applyNumberFormat="1" applyFont="1" applyFill="1" applyBorder="1" applyAlignment="1" applyProtection="1">
      <alignment vertical="center"/>
    </xf>
    <xf numFmtId="167" fontId="0" fillId="1" borderId="141" xfId="13" applyNumberFormat="1" applyFont="1" applyFill="1" applyBorder="1" applyAlignment="1" applyProtection="1">
      <alignment vertical="center"/>
    </xf>
    <xf numFmtId="167" fontId="0" fillId="1" borderId="151" xfId="13" applyNumberFormat="1" applyFont="1" applyFill="1" applyBorder="1" applyAlignment="1" applyProtection="1">
      <alignment vertical="center"/>
    </xf>
    <xf numFmtId="169" fontId="0" fillId="1" borderId="142" xfId="0" applyNumberFormat="1" applyFont="1" applyFill="1" applyBorder="1" applyAlignment="1" applyProtection="1">
      <alignment horizontal="center" vertical="center"/>
    </xf>
    <xf numFmtId="169" fontId="0" fillId="1" borderId="141" xfId="0" applyNumberFormat="1" applyFont="1" applyFill="1" applyBorder="1" applyAlignment="1" applyProtection="1">
      <alignment horizontal="center" vertical="center"/>
    </xf>
    <xf numFmtId="169" fontId="0" fillId="1" borderId="143" xfId="0" applyNumberFormat="1" applyFont="1" applyFill="1" applyBorder="1" applyAlignment="1" applyProtection="1">
      <alignment horizontal="center" vertical="center"/>
    </xf>
    <xf numFmtId="167" fontId="0" fillId="53" borderId="146" xfId="13" applyNumberFormat="1" applyFont="1" applyFill="1" applyBorder="1" applyAlignment="1" applyProtection="1">
      <alignment vertical="center"/>
    </xf>
    <xf numFmtId="167" fontId="0" fillId="53" borderId="144" xfId="13" applyNumberFormat="1" applyFont="1" applyFill="1" applyBorder="1" applyAlignment="1" applyProtection="1">
      <alignment vertical="center"/>
    </xf>
    <xf numFmtId="167" fontId="0" fillId="53" borderId="137" xfId="13" applyNumberFormat="1" applyFont="1" applyFill="1" applyBorder="1" applyAlignment="1" applyProtection="1">
      <alignment vertical="center"/>
    </xf>
    <xf numFmtId="167" fontId="0" fillId="1" borderId="146" xfId="13" applyNumberFormat="1" applyFont="1" applyFill="1" applyBorder="1" applyAlignment="1" applyProtection="1">
      <alignment vertical="center"/>
    </xf>
    <xf numFmtId="167" fontId="0" fillId="1" borderId="144" xfId="13" applyNumberFormat="1" applyFont="1" applyFill="1" applyBorder="1" applyAlignment="1" applyProtection="1">
      <alignment vertical="center"/>
    </xf>
    <xf numFmtId="167" fontId="0" fillId="1" borderId="137" xfId="13" applyNumberFormat="1" applyFont="1" applyFill="1" applyBorder="1" applyAlignment="1" applyProtection="1">
      <alignment vertical="center"/>
    </xf>
    <xf numFmtId="169" fontId="0" fillId="1" borderId="146" xfId="0" applyNumberFormat="1" applyFont="1" applyFill="1" applyBorder="1" applyAlignment="1" applyProtection="1">
      <alignment horizontal="center" vertical="center"/>
    </xf>
    <xf numFmtId="169" fontId="0" fillId="1" borderId="144" xfId="0" applyNumberFormat="1" applyFont="1" applyFill="1" applyBorder="1" applyAlignment="1" applyProtection="1">
      <alignment horizontal="center" vertical="center"/>
    </xf>
    <xf numFmtId="169" fontId="0" fillId="1" borderId="145" xfId="0" applyNumberFormat="1" applyFont="1" applyFill="1" applyBorder="1" applyAlignment="1" applyProtection="1">
      <alignment horizontal="center" vertical="center"/>
    </xf>
    <xf numFmtId="167" fontId="13" fillId="1" borderId="261" xfId="13" applyNumberFormat="1" applyFill="1" applyBorder="1" applyAlignment="1">
      <alignment vertical="center"/>
    </xf>
    <xf numFmtId="167" fontId="13" fillId="0" borderId="262" xfId="13" applyNumberFormat="1" applyBorder="1" applyAlignment="1">
      <alignment vertical="center"/>
    </xf>
    <xf numFmtId="167" fontId="13" fillId="0" borderId="74" xfId="13" applyNumberFormat="1" applyBorder="1" applyAlignment="1">
      <alignment vertical="center"/>
    </xf>
    <xf numFmtId="167" fontId="13" fillId="1" borderId="248" xfId="13" applyNumberFormat="1" applyFill="1" applyBorder="1" applyAlignment="1">
      <alignment vertical="center"/>
    </xf>
    <xf numFmtId="172" fontId="0" fillId="0" borderId="249" xfId="12" applyNumberFormat="1" applyFont="1" applyBorder="1" applyAlignment="1">
      <alignment vertical="center"/>
    </xf>
    <xf numFmtId="172" fontId="0" fillId="0" borderId="247" xfId="12" applyNumberFormat="1" applyFont="1" applyBorder="1" applyAlignment="1">
      <alignment vertical="center"/>
    </xf>
    <xf numFmtId="167" fontId="12" fillId="39" borderId="146" xfId="13" applyNumberFormat="1" applyFont="1" applyFill="1" applyBorder="1" applyAlignment="1">
      <alignment vertical="center"/>
    </xf>
    <xf numFmtId="167" fontId="12" fillId="39" borderId="144" xfId="13" applyNumberFormat="1" applyFont="1" applyFill="1" applyBorder="1" applyAlignment="1">
      <alignment vertical="center"/>
    </xf>
    <xf numFmtId="167" fontId="12" fillId="39" borderId="137" xfId="13" applyNumberFormat="1" applyFont="1" applyFill="1" applyBorder="1" applyAlignment="1">
      <alignment vertical="center"/>
    </xf>
    <xf numFmtId="167" fontId="13" fillId="1" borderId="249" xfId="13" applyNumberFormat="1" applyFill="1" applyBorder="1" applyAlignment="1">
      <alignment vertical="center"/>
    </xf>
    <xf numFmtId="167" fontId="13" fillId="1" borderId="247" xfId="13" applyNumberFormat="1" applyFill="1" applyBorder="1" applyAlignment="1">
      <alignment vertical="center"/>
    </xf>
    <xf numFmtId="172" fontId="0" fillId="1" borderId="249" xfId="12" applyNumberFormat="1" applyFont="1" applyFill="1" applyBorder="1" applyAlignment="1">
      <alignment vertical="center"/>
    </xf>
    <xf numFmtId="172" fontId="0" fillId="1" borderId="247" xfId="12" applyNumberFormat="1" applyFont="1" applyFill="1" applyBorder="1" applyAlignment="1">
      <alignment vertical="center"/>
    </xf>
    <xf numFmtId="167" fontId="13" fillId="0" borderId="261" xfId="13" applyNumberFormat="1" applyBorder="1" applyAlignment="1">
      <alignment vertical="center"/>
    </xf>
    <xf numFmtId="167" fontId="13" fillId="0" borderId="263" xfId="13" applyNumberFormat="1" applyBorder="1" applyAlignment="1">
      <alignment vertical="center"/>
    </xf>
    <xf numFmtId="172" fontId="0" fillId="0" borderId="248" xfId="12" applyNumberFormat="1" applyFont="1" applyBorder="1" applyAlignment="1">
      <alignment vertical="center"/>
    </xf>
    <xf numFmtId="172" fontId="0" fillId="0" borderId="250" xfId="12" applyNumberFormat="1" applyFont="1" applyBorder="1" applyAlignment="1">
      <alignment vertical="center"/>
    </xf>
    <xf numFmtId="167" fontId="12" fillId="39" borderId="272" xfId="13" applyNumberFormat="1" applyFont="1" applyFill="1" applyBorder="1" applyAlignment="1">
      <alignment vertical="center"/>
    </xf>
    <xf numFmtId="167" fontId="12" fillId="39" borderId="273" xfId="13" applyNumberFormat="1" applyFont="1" applyFill="1" applyBorder="1" applyAlignment="1">
      <alignment vertical="center"/>
    </xf>
    <xf numFmtId="167" fontId="12" fillId="39" borderId="246" xfId="13" applyNumberFormat="1" applyFont="1" applyFill="1" applyBorder="1" applyAlignment="1">
      <alignment vertical="center"/>
    </xf>
    <xf numFmtId="167" fontId="13" fillId="1" borderId="262" xfId="13" applyNumberFormat="1" applyFill="1" applyBorder="1" applyAlignment="1">
      <alignment vertical="center"/>
    </xf>
    <xf numFmtId="167" fontId="13" fillId="1" borderId="263" xfId="13" applyNumberFormat="1" applyFill="1" applyBorder="1" applyAlignment="1">
      <alignment vertical="center"/>
    </xf>
    <xf numFmtId="172" fontId="0" fillId="1" borderId="248" xfId="12" applyNumberFormat="1" applyFont="1" applyFill="1" applyBorder="1" applyAlignment="1">
      <alignment vertical="center"/>
    </xf>
    <xf numFmtId="172" fontId="0" fillId="1" borderId="250" xfId="12" applyNumberFormat="1" applyFont="1" applyFill="1" applyBorder="1" applyAlignment="1">
      <alignment vertical="center"/>
    </xf>
    <xf numFmtId="167" fontId="12" fillId="39" borderId="145" xfId="13" applyNumberFormat="1" applyFont="1" applyFill="1" applyBorder="1" applyAlignment="1">
      <alignment vertical="center"/>
    </xf>
    <xf numFmtId="167" fontId="13" fillId="1" borderId="74" xfId="13" applyNumberFormat="1" applyFill="1" applyBorder="1" applyAlignment="1">
      <alignment vertical="center"/>
    </xf>
    <xf numFmtId="167" fontId="13" fillId="1" borderId="250" xfId="13" applyNumberFormat="1" applyFill="1" applyBorder="1" applyAlignment="1">
      <alignment vertical="center"/>
    </xf>
    <xf numFmtId="167" fontId="13" fillId="1" borderId="144" xfId="13" applyNumberFormat="1" applyFill="1" applyBorder="1" applyAlignment="1">
      <alignment vertical="center"/>
    </xf>
    <xf numFmtId="167" fontId="13" fillId="1" borderId="137" xfId="13" applyNumberFormat="1" applyFill="1" applyBorder="1" applyAlignment="1">
      <alignment vertical="center"/>
    </xf>
    <xf numFmtId="167" fontId="13" fillId="1" borderId="146" xfId="13" applyNumberFormat="1" applyFill="1" applyBorder="1" applyAlignment="1">
      <alignment vertical="center"/>
    </xf>
    <xf numFmtId="167" fontId="13" fillId="1" borderId="145" xfId="13" applyNumberFormat="1" applyFill="1" applyBorder="1" applyAlignment="1">
      <alignment vertical="center"/>
    </xf>
    <xf numFmtId="178" fontId="0" fillId="12" borderId="258" xfId="13" applyNumberFormat="1" applyFont="1" applyFill="1" applyBorder="1" applyAlignment="1" applyProtection="1">
      <alignment horizontal="center" vertical="center"/>
      <protection locked="0"/>
    </xf>
    <xf numFmtId="178" fontId="0" fillId="12" borderId="262" xfId="13" applyNumberFormat="1" applyFont="1" applyFill="1" applyBorder="1" applyAlignment="1" applyProtection="1">
      <alignment horizontal="center" vertical="center"/>
      <protection locked="0"/>
    </xf>
    <xf numFmtId="178" fontId="12" fillId="29" borderId="263" xfId="0" applyNumberFormat="1" applyFont="1" applyFill="1" applyBorder="1" applyAlignment="1">
      <alignment vertical="center"/>
    </xf>
    <xf numFmtId="178" fontId="0" fillId="12" borderId="274" xfId="13" applyNumberFormat="1" applyFont="1" applyFill="1" applyBorder="1" applyAlignment="1" applyProtection="1">
      <alignment horizontal="center" vertical="center"/>
      <protection locked="0"/>
    </xf>
    <xf numFmtId="178" fontId="0" fillId="54" borderId="274" xfId="13" applyNumberFormat="1" applyFont="1" applyFill="1" applyBorder="1" applyAlignment="1">
      <alignment horizontal="center" vertical="center"/>
    </xf>
    <xf numFmtId="178" fontId="0" fillId="54" borderId="186" xfId="13" applyNumberFormat="1" applyFont="1" applyFill="1" applyBorder="1" applyAlignment="1">
      <alignment horizontal="center" vertical="center"/>
    </xf>
    <xf numFmtId="178" fontId="12" fillId="56" borderId="187" xfId="0" applyNumberFormat="1" applyFont="1" applyFill="1" applyBorder="1" applyAlignment="1">
      <alignment vertical="center"/>
    </xf>
    <xf numFmtId="167" fontId="13" fillId="1" borderId="121" xfId="13" applyNumberFormat="1" applyFill="1" applyBorder="1" applyAlignment="1">
      <alignment vertical="center"/>
    </xf>
    <xf numFmtId="167" fontId="13" fillId="1" borderId="255" xfId="13" applyNumberFormat="1" applyFill="1" applyBorder="1" applyAlignment="1">
      <alignment vertical="center"/>
    </xf>
    <xf numFmtId="167" fontId="13" fillId="1" borderId="176" xfId="13" applyNumberFormat="1" applyFill="1" applyBorder="1" applyAlignment="1">
      <alignment vertical="center"/>
    </xf>
    <xf numFmtId="0" fontId="12" fillId="21" borderId="249" xfId="0" applyFont="1" applyFill="1" applyBorder="1" applyAlignment="1">
      <alignment horizontal="left" vertical="center"/>
    </xf>
    <xf numFmtId="0" fontId="10" fillId="23" borderId="249" xfId="0" applyFont="1" applyFill="1" applyBorder="1" applyAlignment="1">
      <alignment horizontal="left" vertical="center"/>
    </xf>
    <xf numFmtId="0" fontId="10" fillId="20" borderId="184" xfId="0" applyFont="1" applyFill="1" applyBorder="1" applyAlignment="1">
      <alignment horizontal="left" vertical="center"/>
    </xf>
    <xf numFmtId="180" fontId="12" fillId="19" borderId="199" xfId="13" applyNumberFormat="1" applyFont="1" applyFill="1" applyBorder="1" applyAlignment="1" applyProtection="1">
      <alignment horizontal="center"/>
      <protection locked="0"/>
    </xf>
    <xf numFmtId="180" fontId="12" fillId="19" borderId="199" xfId="13" applyNumberFormat="1" applyFont="1" applyFill="1" applyBorder="1" applyAlignment="1">
      <alignment horizontal="center"/>
    </xf>
    <xf numFmtId="174" fontId="18" fillId="0" borderId="275" xfId="0" applyNumberFormat="1" applyFont="1" applyBorder="1" applyAlignment="1">
      <alignment horizontal="left"/>
    </xf>
    <xf numFmtId="164" fontId="0" fillId="49" borderId="249" xfId="31" applyFont="1" applyFill="1" applyBorder="1" applyAlignment="1" applyProtection="1">
      <alignment horizontal="center" vertical="center"/>
      <protection locked="0"/>
    </xf>
    <xf numFmtId="164" fontId="0" fillId="12" borderId="249" xfId="31" applyFont="1" applyFill="1" applyBorder="1" applyAlignment="1" applyProtection="1">
      <alignment horizontal="center" vertical="center"/>
      <protection locked="0"/>
    </xf>
    <xf numFmtId="0" fontId="10" fillId="23" borderId="275" xfId="0" applyFont="1" applyFill="1" applyBorder="1" applyAlignment="1">
      <alignment horizontal="left" vertical="center"/>
    </xf>
    <xf numFmtId="167" fontId="10" fillId="40" borderId="249" xfId="13" applyNumberFormat="1" applyFont="1" applyFill="1" applyBorder="1" applyAlignment="1" applyProtection="1">
      <alignment vertical="center"/>
      <protection locked="0"/>
    </xf>
    <xf numFmtId="167" fontId="10" fillId="40" borderId="249" xfId="13" applyNumberFormat="1" applyFont="1" applyFill="1" applyBorder="1" applyAlignment="1">
      <alignment vertical="center"/>
    </xf>
    <xf numFmtId="0" fontId="10" fillId="20" borderId="275" xfId="0" applyFont="1" applyFill="1" applyBorder="1" applyAlignment="1">
      <alignment horizontal="left" vertical="center"/>
    </xf>
    <xf numFmtId="180" fontId="12" fillId="19" borderId="249" xfId="13" applyNumberFormat="1" applyFont="1" applyFill="1" applyBorder="1" applyAlignment="1" applyProtection="1">
      <alignment horizontal="center"/>
      <protection locked="0"/>
    </xf>
    <xf numFmtId="180" fontId="12" fillId="19" borderId="249" xfId="13" applyNumberFormat="1" applyFont="1" applyFill="1" applyBorder="1" applyAlignment="1">
      <alignment horizontal="center"/>
    </xf>
    <xf numFmtId="0" fontId="10" fillId="20" borderId="275" xfId="0" applyFont="1" applyFill="1" applyBorder="1" applyAlignment="1" applyProtection="1">
      <alignment horizontal="left" vertical="center"/>
      <protection locked="0"/>
    </xf>
    <xf numFmtId="0" fontId="10" fillId="20" borderId="249" xfId="0" applyFont="1" applyFill="1" applyBorder="1" applyAlignment="1">
      <alignment horizontal="left" vertical="center"/>
    </xf>
    <xf numFmtId="0" fontId="10" fillId="20" borderId="249" xfId="0" applyFont="1" applyFill="1" applyBorder="1" applyAlignment="1" applyProtection="1">
      <alignment horizontal="left" vertical="center"/>
      <protection locked="0"/>
    </xf>
    <xf numFmtId="167" fontId="10" fillId="23" borderId="249" xfId="13" applyNumberFormat="1" applyFont="1" applyFill="1" applyBorder="1" applyAlignment="1">
      <alignment horizontal="center" vertical="center"/>
    </xf>
    <xf numFmtId="167" fontId="10" fillId="57" borderId="249" xfId="13" applyNumberFormat="1" applyFont="1" applyFill="1" applyBorder="1" applyAlignment="1">
      <alignment vertical="center"/>
    </xf>
    <xf numFmtId="167" fontId="12" fillId="40" borderId="249" xfId="13" applyNumberFormat="1" applyFont="1" applyFill="1" applyBorder="1" applyAlignment="1">
      <alignment vertical="center"/>
    </xf>
    <xf numFmtId="167" fontId="10" fillId="23" borderId="267" xfId="13" applyNumberFormat="1" applyFont="1" applyFill="1" applyBorder="1" applyAlignment="1">
      <alignment horizontal="center" vertical="center"/>
    </xf>
    <xf numFmtId="167" fontId="10" fillId="20" borderId="249" xfId="13" applyNumberFormat="1" applyFont="1" applyFill="1" applyBorder="1" applyAlignment="1">
      <alignment horizontal="center" vertical="center"/>
    </xf>
    <xf numFmtId="167" fontId="10" fillId="58" borderId="249" xfId="13" applyNumberFormat="1" applyFont="1" applyFill="1" applyBorder="1" applyAlignment="1">
      <alignment vertical="center"/>
    </xf>
    <xf numFmtId="167" fontId="12" fillId="41" borderId="249" xfId="13" applyNumberFormat="1" applyFont="1" applyFill="1" applyBorder="1" applyAlignment="1">
      <alignment vertical="center"/>
    </xf>
    <xf numFmtId="167" fontId="0" fillId="45" borderId="249" xfId="13" applyNumberFormat="1" applyFont="1" applyFill="1" applyBorder="1" applyAlignment="1">
      <alignment vertical="center"/>
    </xf>
    <xf numFmtId="167" fontId="18" fillId="29" borderId="249" xfId="13" applyNumberFormat="1" applyFont="1" applyFill="1" applyBorder="1" applyAlignment="1">
      <alignment vertical="center"/>
    </xf>
    <xf numFmtId="175" fontId="18" fillId="29" borderId="249" xfId="12" applyNumberFormat="1" applyFont="1" applyFill="1" applyBorder="1" applyAlignment="1">
      <alignment vertical="center"/>
    </xf>
    <xf numFmtId="167" fontId="10" fillId="28" borderId="267" xfId="13" applyNumberFormat="1" applyFont="1" applyFill="1" applyBorder="1" applyAlignment="1">
      <alignment vertical="center"/>
    </xf>
    <xf numFmtId="167" fontId="0" fillId="12" borderId="249" xfId="13" applyNumberFormat="1" applyFont="1" applyFill="1" applyBorder="1" applyAlignment="1" applyProtection="1">
      <alignment vertical="center"/>
      <protection locked="0"/>
    </xf>
    <xf numFmtId="167" fontId="18" fillId="12" borderId="249" xfId="13" applyNumberFormat="1" applyFont="1" applyFill="1" applyBorder="1" applyAlignment="1" applyProtection="1">
      <alignment vertical="center"/>
      <protection locked="0"/>
    </xf>
    <xf numFmtId="175" fontId="18" fillId="12" borderId="249" xfId="12" applyNumberFormat="1" applyFont="1" applyFill="1" applyBorder="1" applyAlignment="1" applyProtection="1">
      <alignment vertical="center"/>
      <protection locked="0"/>
    </xf>
    <xf numFmtId="174" fontId="29" fillId="0" borderId="275" xfId="0" applyNumberFormat="1" applyFont="1" applyBorder="1" applyAlignment="1">
      <alignment horizontal="left"/>
    </xf>
    <xf numFmtId="167" fontId="10" fillId="29" borderId="249" xfId="13" applyNumberFormat="1" applyFont="1" applyFill="1" applyBorder="1" applyAlignment="1">
      <alignment vertical="center"/>
    </xf>
    <xf numFmtId="175" fontId="13" fillId="29" borderId="249" xfId="12" applyNumberFormat="1" applyFill="1" applyBorder="1"/>
    <xf numFmtId="167" fontId="10" fillId="59" borderId="249" xfId="13" applyNumberFormat="1" applyFont="1" applyFill="1" applyBorder="1" applyAlignment="1">
      <alignment vertical="center"/>
    </xf>
    <xf numFmtId="167" fontId="18" fillId="60" borderId="249" xfId="13" applyNumberFormat="1" applyFont="1" applyFill="1" applyBorder="1" applyAlignment="1">
      <alignment vertical="center"/>
    </xf>
    <xf numFmtId="175" fontId="13" fillId="60" borderId="249" xfId="12" applyNumberFormat="1" applyFill="1" applyBorder="1"/>
    <xf numFmtId="167" fontId="10" fillId="20" borderId="249" xfId="13" applyNumberFormat="1" applyFont="1" applyFill="1" applyBorder="1" applyAlignment="1">
      <alignment vertical="center"/>
    </xf>
    <xf numFmtId="167" fontId="10" fillId="20" borderId="267" xfId="13" applyNumberFormat="1" applyFont="1" applyFill="1" applyBorder="1" applyAlignment="1">
      <alignment vertical="center"/>
    </xf>
    <xf numFmtId="167" fontId="18" fillId="61" borderId="249" xfId="13" applyNumberFormat="1" applyFont="1" applyFill="1" applyBorder="1" applyAlignment="1">
      <alignment vertical="center"/>
    </xf>
    <xf numFmtId="167" fontId="0" fillId="49" borderId="249" xfId="13" applyNumberFormat="1" applyFont="1" applyFill="1" applyBorder="1" applyAlignment="1" applyProtection="1">
      <alignment vertical="center"/>
      <protection locked="0"/>
    </xf>
    <xf numFmtId="1" fontId="0" fillId="0" borderId="94" xfId="0" applyNumberFormat="1" applyBorder="1" applyAlignment="1">
      <alignment horizontal="center" vertical="center" wrapText="1"/>
    </xf>
    <xf numFmtId="174" fontId="18" fillId="0" borderId="232" xfId="0" applyNumberFormat="1" applyFont="1" applyBorder="1" applyAlignment="1">
      <alignment horizontal="left"/>
    </xf>
    <xf numFmtId="167" fontId="10" fillId="28" borderId="233" xfId="13" applyNumberFormat="1" applyFont="1" applyFill="1" applyBorder="1" applyAlignment="1">
      <alignment vertical="center"/>
    </xf>
    <xf numFmtId="167" fontId="12" fillId="43" borderId="249" xfId="13" applyNumberFormat="1" applyFont="1" applyFill="1" applyBorder="1" applyAlignment="1">
      <alignment horizontal="center" vertical="center"/>
    </xf>
    <xf numFmtId="167" fontId="0" fillId="28" borderId="249" xfId="13" applyNumberFormat="1" applyFont="1" applyFill="1" applyBorder="1" applyAlignment="1">
      <alignment vertical="center"/>
    </xf>
    <xf numFmtId="0" fontId="12" fillId="30" borderId="276" xfId="0" applyFont="1" applyFill="1" applyBorder="1" applyAlignment="1">
      <alignment horizontal="center" vertical="center" wrapText="1"/>
    </xf>
    <xf numFmtId="0" fontId="12" fillId="31" borderId="277" xfId="0" applyFont="1" applyFill="1" applyBorder="1" applyAlignment="1">
      <alignment vertical="center"/>
    </xf>
    <xf numFmtId="166" fontId="12" fillId="31" borderId="249" xfId="13" applyNumberFormat="1" applyFont="1" applyFill="1" applyBorder="1" applyAlignment="1">
      <alignment vertical="center"/>
    </xf>
    <xf numFmtId="166" fontId="12" fillId="32" borderId="249" xfId="13" applyNumberFormat="1" applyFont="1" applyFill="1" applyBorder="1" applyAlignment="1">
      <alignment vertical="center"/>
    </xf>
    <xf numFmtId="166" fontId="12" fillId="31" borderId="276" xfId="13" applyNumberFormat="1" applyFont="1" applyFill="1" applyBorder="1" applyAlignment="1">
      <alignment vertical="center"/>
    </xf>
    <xf numFmtId="0" fontId="12" fillId="43" borderId="249" xfId="0" applyFont="1" applyFill="1" applyBorder="1" applyAlignment="1">
      <alignment horizontal="center" vertical="center"/>
    </xf>
    <xf numFmtId="180" fontId="13" fillId="28" borderId="249" xfId="13" applyNumberFormat="1" applyFill="1" applyBorder="1"/>
    <xf numFmtId="175" fontId="13" fillId="29" borderId="249" xfId="12" applyNumberFormat="1" applyFont="1" applyFill="1" applyBorder="1"/>
    <xf numFmtId="0" fontId="12" fillId="62" borderId="267" xfId="0" applyFont="1" applyFill="1" applyBorder="1" applyAlignment="1" applyProtection="1">
      <alignment horizontal="center" vertical="center"/>
    </xf>
    <xf numFmtId="0" fontId="10" fillId="63" borderId="194" xfId="0" applyFont="1" applyFill="1" applyBorder="1" applyAlignment="1" applyProtection="1">
      <alignment horizontal="left" vertical="center"/>
    </xf>
    <xf numFmtId="167" fontId="10" fillId="63" borderId="141" xfId="13" applyNumberFormat="1" applyFont="1" applyFill="1" applyBorder="1" applyAlignment="1" applyProtection="1">
      <alignment horizontal="center" vertical="center"/>
    </xf>
    <xf numFmtId="167" fontId="10" fillId="24" borderId="141" xfId="13" applyNumberFormat="1" applyFont="1" applyFill="1" applyBorder="1" applyAlignment="1" applyProtection="1">
      <alignment vertical="center"/>
    </xf>
    <xf numFmtId="167" fontId="12" fillId="24" borderId="141" xfId="13" applyNumberFormat="1" applyFont="1" applyFill="1" applyBorder="1" applyAlignment="1" applyProtection="1">
      <alignment vertical="center"/>
    </xf>
    <xf numFmtId="167" fontId="10" fillId="63" borderId="215" xfId="13" applyNumberFormat="1" applyFont="1" applyFill="1" applyBorder="1" applyAlignment="1" applyProtection="1">
      <alignment horizontal="center" vertical="center"/>
    </xf>
    <xf numFmtId="0" fontId="0" fillId="1" borderId="0" xfId="0" applyFill="1" applyAlignment="1" applyProtection="1">
      <alignment vertical="center"/>
    </xf>
    <xf numFmtId="0" fontId="12" fillId="64" borderId="183" xfId="0" applyFont="1" applyFill="1" applyBorder="1" applyAlignment="1" applyProtection="1">
      <alignment horizontal="center" vertical="center" wrapText="1"/>
    </xf>
    <xf numFmtId="0" fontId="10" fillId="64" borderId="194" xfId="0" applyFont="1" applyFill="1" applyBorder="1" applyAlignment="1" applyProtection="1">
      <alignment horizontal="left" vertical="center"/>
    </xf>
    <xf numFmtId="167" fontId="10" fillId="64" borderId="141" xfId="13" applyNumberFormat="1" applyFont="1" applyFill="1" applyBorder="1" applyAlignment="1" applyProtection="1">
      <alignment horizontal="center" vertical="center"/>
    </xf>
    <xf numFmtId="167" fontId="10" fillId="22" borderId="141" xfId="13" applyNumberFormat="1" applyFont="1" applyFill="1" applyBorder="1" applyAlignment="1" applyProtection="1">
      <alignment vertical="center"/>
    </xf>
    <xf numFmtId="167" fontId="12" fillId="22" borderId="141" xfId="13" applyNumberFormat="1" applyFont="1" applyFill="1" applyBorder="1" applyAlignment="1" applyProtection="1">
      <alignment vertical="center"/>
    </xf>
    <xf numFmtId="167" fontId="10" fillId="64" borderId="183" xfId="13" applyNumberFormat="1" applyFont="1" applyFill="1" applyBorder="1" applyAlignment="1" applyProtection="1">
      <alignment horizontal="center" vertical="center"/>
    </xf>
    <xf numFmtId="1" fontId="0" fillId="1" borderId="183" xfId="0" applyNumberFormat="1" applyFill="1" applyBorder="1" applyAlignment="1" applyProtection="1">
      <alignment horizontal="center" vertical="center" wrapText="1"/>
    </xf>
    <xf numFmtId="174" fontId="18" fillId="1" borderId="194" xfId="0" applyNumberFormat="1" applyFont="1" applyFill="1" applyBorder="1" applyAlignment="1" applyProtection="1">
      <alignment horizontal="left"/>
    </xf>
    <xf numFmtId="167" fontId="0" fillId="55" borderId="141" xfId="13" applyNumberFormat="1" applyFont="1" applyFill="1" applyBorder="1" applyAlignment="1" applyProtection="1">
      <alignment vertical="center"/>
    </xf>
    <xf numFmtId="167" fontId="18" fillId="1" borderId="141" xfId="13" applyNumberFormat="1" applyFont="1" applyFill="1" applyBorder="1" applyAlignment="1" applyProtection="1">
      <alignment vertical="center"/>
    </xf>
    <xf numFmtId="175" fontId="18" fillId="1" borderId="141" xfId="12" applyNumberFormat="1" applyFont="1" applyFill="1" applyBorder="1" applyAlignment="1" applyProtection="1">
      <alignment vertical="center"/>
    </xf>
    <xf numFmtId="167" fontId="18" fillId="56" borderId="141" xfId="13" applyNumberFormat="1" applyFont="1" applyFill="1" applyBorder="1" applyAlignment="1" applyProtection="1">
      <alignment vertical="center"/>
    </xf>
    <xf numFmtId="167" fontId="10" fillId="65" borderId="215" xfId="13" applyNumberFormat="1" applyFont="1" applyFill="1" applyBorder="1" applyAlignment="1" applyProtection="1">
      <alignment vertical="center"/>
    </xf>
    <xf numFmtId="167" fontId="0" fillId="54" borderId="141" xfId="13" applyNumberFormat="1" applyFont="1" applyFill="1" applyBorder="1" applyAlignment="1" applyProtection="1">
      <alignment vertical="center"/>
    </xf>
    <xf numFmtId="167" fontId="18" fillId="54" borderId="141" xfId="13" applyNumberFormat="1" applyFont="1" applyFill="1" applyBorder="1" applyAlignment="1" applyProtection="1">
      <alignment vertical="center"/>
    </xf>
    <xf numFmtId="175" fontId="18" fillId="54" borderId="141" xfId="12" applyNumberFormat="1" applyFont="1" applyFill="1" applyBorder="1" applyAlignment="1" applyProtection="1">
      <alignment vertical="center"/>
    </xf>
    <xf numFmtId="1" fontId="0" fillId="1" borderId="268" xfId="0" applyNumberFormat="1" applyFill="1" applyBorder="1" applyAlignment="1" applyProtection="1">
      <alignment horizontal="center"/>
    </xf>
    <xf numFmtId="1" fontId="0" fillId="1" borderId="185" xfId="0" applyNumberFormat="1" applyFill="1" applyBorder="1" applyProtection="1"/>
    <xf numFmtId="174" fontId="29" fillId="1" borderId="194" xfId="0" applyNumberFormat="1" applyFont="1" applyFill="1" applyBorder="1" applyAlignment="1" applyProtection="1">
      <alignment horizontal="left"/>
    </xf>
    <xf numFmtId="167" fontId="0" fillId="52" borderId="141" xfId="13" applyNumberFormat="1" applyFont="1" applyFill="1" applyBorder="1" applyAlignment="1" applyProtection="1">
      <alignment vertical="center"/>
    </xf>
    <xf numFmtId="167" fontId="18" fillId="52" borderId="141" xfId="13" applyNumberFormat="1" applyFont="1" applyFill="1" applyBorder="1" applyAlignment="1" applyProtection="1">
      <alignment vertical="center"/>
    </xf>
    <xf numFmtId="175" fontId="18" fillId="52" borderId="141" xfId="12" applyNumberFormat="1" applyFont="1" applyFill="1" applyBorder="1" applyAlignment="1" applyProtection="1">
      <alignment vertical="center"/>
    </xf>
    <xf numFmtId="167" fontId="10" fillId="63" borderId="183" xfId="13" applyNumberFormat="1" applyFont="1" applyFill="1" applyBorder="1" applyAlignment="1" applyProtection="1">
      <alignment horizontal="center" vertical="center"/>
    </xf>
    <xf numFmtId="167" fontId="10" fillId="64" borderId="141" xfId="13" applyNumberFormat="1" applyFont="1" applyFill="1" applyBorder="1" applyAlignment="1" applyProtection="1">
      <alignment vertical="center"/>
    </xf>
    <xf numFmtId="167" fontId="10" fillId="64" borderId="215" xfId="13" applyNumberFormat="1" applyFont="1" applyFill="1" applyBorder="1" applyAlignment="1" applyProtection="1">
      <alignment vertical="center"/>
    </xf>
    <xf numFmtId="1" fontId="0" fillId="66" borderId="183" xfId="0" applyNumberFormat="1" applyFill="1" applyBorder="1" applyAlignment="1" applyProtection="1">
      <alignment horizontal="center" vertical="center" wrapText="1"/>
    </xf>
    <xf numFmtId="167" fontId="10" fillId="51" borderId="141" xfId="13" applyNumberFormat="1" applyFont="1" applyFill="1" applyBorder="1" applyAlignment="1" applyProtection="1">
      <alignment vertical="center"/>
    </xf>
    <xf numFmtId="1" fontId="0" fillId="1" borderId="2" xfId="0" applyNumberFormat="1" applyFill="1" applyBorder="1" applyAlignment="1" applyProtection="1">
      <alignment horizontal="center" vertical="center" wrapText="1"/>
    </xf>
    <xf numFmtId="174" fontId="18" fillId="1" borderId="244" xfId="0" applyNumberFormat="1" applyFont="1" applyFill="1" applyBorder="1" applyAlignment="1" applyProtection="1">
      <alignment horizontal="left"/>
    </xf>
    <xf numFmtId="167" fontId="10" fillId="65" borderId="245" xfId="13" applyNumberFormat="1" applyFont="1" applyFill="1" applyBorder="1" applyAlignment="1" applyProtection="1">
      <alignment vertical="center"/>
    </xf>
    <xf numFmtId="167" fontId="12" fillId="66" borderId="141" xfId="13" applyNumberFormat="1" applyFont="1" applyFill="1" applyBorder="1" applyAlignment="1" applyProtection="1">
      <alignment horizontal="center" vertical="center"/>
    </xf>
    <xf numFmtId="167" fontId="0" fillId="65" borderId="141" xfId="13" applyNumberFormat="1" applyFont="1" applyFill="1" applyBorder="1" applyAlignment="1" applyProtection="1">
      <alignment vertical="center"/>
    </xf>
    <xf numFmtId="0" fontId="12" fillId="67" borderId="269" xfId="0" applyFont="1" applyFill="1" applyBorder="1" applyAlignment="1" applyProtection="1">
      <alignment horizontal="center" vertical="center" wrapText="1"/>
    </xf>
    <xf numFmtId="0" fontId="12" fillId="68" borderId="243" xfId="0" applyFont="1" applyFill="1" applyBorder="1" applyAlignment="1" applyProtection="1">
      <alignment vertical="center"/>
    </xf>
    <xf numFmtId="166" fontId="12" fillId="68" borderId="141" xfId="13" applyNumberFormat="1" applyFont="1" applyFill="1" applyBorder="1" applyAlignment="1" applyProtection="1">
      <alignment vertical="center"/>
    </xf>
    <xf numFmtId="166" fontId="12" fillId="32" borderId="141" xfId="13" applyNumberFormat="1" applyFont="1" applyFill="1" applyBorder="1" applyAlignment="1" applyProtection="1">
      <alignment vertical="center"/>
    </xf>
    <xf numFmtId="166" fontId="12" fillId="68" borderId="242" xfId="13" applyNumberFormat="1" applyFont="1" applyFill="1" applyBorder="1" applyAlignment="1" applyProtection="1">
      <alignment vertical="center"/>
    </xf>
    <xf numFmtId="0" fontId="12" fillId="66" borderId="141" xfId="0" applyFont="1" applyFill="1" applyBorder="1" applyAlignment="1" applyProtection="1">
      <alignment horizontal="center" vertical="center"/>
    </xf>
    <xf numFmtId="180" fontId="13" fillId="65" borderId="141" xfId="13" applyNumberFormat="1" applyFill="1" applyBorder="1" applyProtection="1"/>
    <xf numFmtId="177" fontId="0" fillId="12" borderId="258" xfId="13" applyNumberFormat="1" applyFont="1" applyFill="1" applyBorder="1" applyAlignment="1" applyProtection="1">
      <alignment vertical="center"/>
      <protection locked="0"/>
    </xf>
    <xf numFmtId="177" fontId="0" fillId="12" borderId="257" xfId="13" applyNumberFormat="1" applyFont="1" applyFill="1" applyBorder="1" applyAlignment="1" applyProtection="1">
      <alignment vertical="center"/>
      <protection locked="0"/>
    </xf>
    <xf numFmtId="177" fontId="0" fillId="12" borderId="158" xfId="13" applyNumberFormat="1" applyFont="1" applyFill="1" applyBorder="1" applyAlignment="1" applyProtection="1">
      <alignment vertical="center"/>
      <protection locked="0"/>
    </xf>
    <xf numFmtId="0" fontId="0" fillId="12" borderId="263" xfId="0" applyFont="1" applyFill="1" applyBorder="1" applyAlignment="1" applyProtection="1">
      <alignment horizontal="left" vertical="center"/>
      <protection locked="0"/>
    </xf>
    <xf numFmtId="0" fontId="0" fillId="12" borderId="176" xfId="0" applyFont="1" applyFill="1" applyBorder="1" applyAlignment="1" applyProtection="1">
      <alignment horizontal="left" vertical="center"/>
      <protection locked="0"/>
    </xf>
    <xf numFmtId="0" fontId="12" fillId="16" borderId="273" xfId="0" applyFont="1" applyFill="1" applyBorder="1" applyAlignment="1" applyProtection="1">
      <alignment horizontal="center" vertical="center" wrapText="1"/>
    </xf>
    <xf numFmtId="0" fontId="12" fillId="16" borderId="280" xfId="0" applyFont="1" applyFill="1" applyBorder="1" applyAlignment="1" applyProtection="1">
      <alignment horizontal="center" vertical="center" wrapText="1"/>
    </xf>
    <xf numFmtId="0" fontId="12" fillId="16" borderId="246" xfId="0" applyFont="1" applyFill="1" applyBorder="1" applyAlignment="1" applyProtection="1">
      <alignment horizontal="center" vertical="center" wrapText="1"/>
    </xf>
    <xf numFmtId="0" fontId="0" fillId="12" borderId="74" xfId="0" applyFont="1" applyFill="1" applyBorder="1" applyProtection="1">
      <protection locked="0"/>
    </xf>
    <xf numFmtId="177" fontId="0" fillId="12" borderId="74" xfId="13" applyNumberFormat="1" applyFont="1" applyFill="1" applyBorder="1" applyAlignment="1" applyProtection="1">
      <alignment vertical="center"/>
      <protection locked="0"/>
    </xf>
    <xf numFmtId="176" fontId="0" fillId="29" borderId="169" xfId="0" applyNumberFormat="1" applyFont="1" applyFill="1" applyBorder="1" applyAlignment="1" applyProtection="1">
      <alignment horizontal="right" vertical="center"/>
    </xf>
    <xf numFmtId="176" fontId="0" fillId="0" borderId="169" xfId="0" applyNumberFormat="1" applyFont="1" applyFill="1" applyBorder="1" applyAlignment="1" applyProtection="1">
      <alignment horizontal="right" vertical="center"/>
    </xf>
    <xf numFmtId="0" fontId="0" fillId="12" borderId="257" xfId="0" applyFont="1" applyFill="1" applyBorder="1" applyAlignment="1" applyProtection="1">
      <alignment horizontal="left" vertical="center"/>
      <protection locked="0"/>
    </xf>
    <xf numFmtId="0" fontId="0" fillId="12" borderId="249" xfId="0" applyFont="1" applyFill="1" applyBorder="1" applyProtection="1">
      <protection locked="0"/>
    </xf>
    <xf numFmtId="0" fontId="0" fillId="12" borderId="247" xfId="0" applyFont="1" applyFill="1" applyBorder="1" applyProtection="1">
      <protection locked="0"/>
    </xf>
    <xf numFmtId="177" fontId="0" fillId="12" borderId="247" xfId="13" applyNumberFormat="1" applyFont="1" applyFill="1" applyBorder="1" applyAlignment="1" applyProtection="1">
      <alignment vertical="center"/>
      <protection locked="0"/>
    </xf>
    <xf numFmtId="176" fontId="0" fillId="29" borderId="170" xfId="0" applyNumberFormat="1" applyFont="1" applyFill="1" applyBorder="1" applyAlignment="1" applyProtection="1">
      <alignment horizontal="right" vertical="center"/>
    </xf>
    <xf numFmtId="176" fontId="0" fillId="0" borderId="170" xfId="0" applyNumberFormat="1" applyFont="1" applyFill="1" applyBorder="1" applyAlignment="1" applyProtection="1">
      <alignment horizontal="right" vertical="center"/>
    </xf>
    <xf numFmtId="0" fontId="0" fillId="12" borderId="158" xfId="0" applyFont="1" applyFill="1" applyBorder="1" applyAlignment="1" applyProtection="1">
      <alignment horizontal="left" vertical="center"/>
      <protection locked="0"/>
    </xf>
    <xf numFmtId="0" fontId="0" fillId="12" borderId="144" xfId="0" applyFont="1" applyFill="1" applyBorder="1" applyProtection="1">
      <protection locked="0"/>
    </xf>
    <xf numFmtId="0" fontId="0" fillId="12" borderId="137" xfId="0" applyFont="1" applyFill="1" applyBorder="1" applyProtection="1">
      <protection locked="0"/>
    </xf>
    <xf numFmtId="177" fontId="0" fillId="12" borderId="137" xfId="13" applyNumberFormat="1" applyFont="1" applyFill="1" applyBorder="1" applyAlignment="1" applyProtection="1">
      <alignment vertical="center"/>
      <protection locked="0"/>
    </xf>
    <xf numFmtId="176" fontId="0" fillId="29" borderId="171" xfId="0" applyNumberFormat="1" applyFont="1" applyFill="1" applyBorder="1" applyAlignment="1" applyProtection="1">
      <alignment horizontal="right" vertical="center"/>
    </xf>
    <xf numFmtId="176" fontId="0" fillId="0" borderId="171" xfId="0" applyNumberFormat="1" applyFont="1" applyFill="1" applyBorder="1" applyAlignment="1" applyProtection="1">
      <alignment horizontal="right" vertical="center"/>
    </xf>
    <xf numFmtId="167" fontId="0" fillId="69" borderId="142" xfId="13" applyNumberFormat="1" applyFont="1" applyFill="1" applyBorder="1" applyAlignment="1" applyProtection="1">
      <alignment vertical="center"/>
    </xf>
    <xf numFmtId="167" fontId="0" fillId="69" borderId="141" xfId="13" applyNumberFormat="1" applyFont="1" applyFill="1" applyBorder="1" applyAlignment="1" applyProtection="1">
      <alignment vertical="center"/>
    </xf>
    <xf numFmtId="167" fontId="0" fillId="69" borderId="151" xfId="13" applyNumberFormat="1" applyFont="1" applyFill="1" applyBorder="1" applyAlignment="1" applyProtection="1">
      <alignment vertical="center"/>
    </xf>
    <xf numFmtId="0" fontId="0" fillId="54" borderId="258" xfId="0" applyFont="1" applyFill="1" applyBorder="1" applyAlignment="1" applyProtection="1">
      <alignment horizontal="left" vertical="center"/>
    </xf>
    <xf numFmtId="0" fontId="0" fillId="54" borderId="262" xfId="0" applyFont="1" applyFill="1" applyBorder="1" applyAlignment="1" applyProtection="1">
      <alignment horizontal="left" vertical="center"/>
    </xf>
    <xf numFmtId="0" fontId="0" fillId="54" borderId="263" xfId="0" applyFont="1" applyFill="1" applyBorder="1" applyAlignment="1" applyProtection="1">
      <alignment horizontal="left" vertical="center"/>
    </xf>
    <xf numFmtId="177" fontId="0" fillId="54" borderId="258" xfId="13" applyNumberFormat="1" applyFont="1" applyFill="1" applyBorder="1" applyAlignment="1" applyProtection="1">
      <alignment vertical="center"/>
    </xf>
    <xf numFmtId="177" fontId="0" fillId="54" borderId="262" xfId="13" applyNumberFormat="1" applyFont="1" applyFill="1" applyBorder="1" applyAlignment="1" applyProtection="1">
      <alignment vertical="center"/>
    </xf>
    <xf numFmtId="176" fontId="0" fillId="56" borderId="263" xfId="0" applyNumberFormat="1" applyFont="1" applyFill="1" applyBorder="1" applyAlignment="1" applyProtection="1">
      <alignment vertical="center"/>
    </xf>
    <xf numFmtId="176" fontId="0" fillId="56" borderId="265" xfId="0" applyNumberFormat="1" applyFont="1" applyFill="1" applyBorder="1" applyAlignment="1" applyProtection="1">
      <alignment horizontal="right" vertical="center"/>
    </xf>
    <xf numFmtId="0" fontId="0" fillId="54" borderId="257" xfId="0" applyFont="1" applyFill="1" applyBorder="1" applyAlignment="1" applyProtection="1">
      <alignment horizontal="left" vertical="center"/>
    </xf>
    <xf numFmtId="0" fontId="0" fillId="54" borderId="249" xfId="0" applyFont="1" applyFill="1" applyBorder="1" applyAlignment="1" applyProtection="1">
      <alignment horizontal="left" vertical="center"/>
    </xf>
    <xf numFmtId="0" fontId="0" fillId="54" borderId="250" xfId="0" applyFont="1" applyFill="1" applyBorder="1" applyAlignment="1" applyProtection="1">
      <alignment horizontal="left" vertical="center"/>
    </xf>
    <xf numFmtId="177" fontId="0" fillId="54" borderId="257" xfId="13" applyNumberFormat="1" applyFont="1" applyFill="1" applyBorder="1" applyAlignment="1" applyProtection="1">
      <alignment vertical="center"/>
    </xf>
    <xf numFmtId="177" fontId="0" fillId="54" borderId="249" xfId="13" applyNumberFormat="1" applyFont="1" applyFill="1" applyBorder="1" applyAlignment="1" applyProtection="1">
      <alignment vertical="center"/>
    </xf>
    <xf numFmtId="176" fontId="0" fillId="56" borderId="250" xfId="0" applyNumberFormat="1" applyFont="1" applyFill="1" applyBorder="1" applyAlignment="1" applyProtection="1">
      <alignment vertical="center"/>
    </xf>
    <xf numFmtId="176" fontId="0" fillId="56" borderId="270" xfId="0" applyNumberFormat="1" applyFont="1" applyFill="1" applyBorder="1" applyAlignment="1" applyProtection="1">
      <alignment horizontal="right" vertical="center"/>
    </xf>
    <xf numFmtId="0" fontId="0" fillId="54" borderId="158" xfId="0" applyFont="1" applyFill="1" applyBorder="1" applyAlignment="1" applyProtection="1">
      <alignment horizontal="left" vertical="center"/>
    </xf>
    <xf numFmtId="0" fontId="0" fillId="54" borderId="144" xfId="0" applyFont="1" applyFill="1" applyBorder="1" applyAlignment="1" applyProtection="1">
      <alignment horizontal="left" vertical="center"/>
    </xf>
    <xf numFmtId="0" fontId="0" fillId="54" borderId="145" xfId="0" applyFont="1" applyFill="1" applyBorder="1" applyAlignment="1" applyProtection="1">
      <alignment horizontal="left" vertical="center"/>
    </xf>
    <xf numFmtId="177" fontId="0" fillId="54" borderId="158" xfId="13" applyNumberFormat="1" applyFont="1" applyFill="1" applyBorder="1" applyAlignment="1" applyProtection="1">
      <alignment vertical="center"/>
    </xf>
    <xf numFmtId="177" fontId="0" fillId="54" borderId="144" xfId="13" applyNumberFormat="1" applyFont="1" applyFill="1" applyBorder="1" applyAlignment="1" applyProtection="1">
      <alignment vertical="center"/>
    </xf>
    <xf numFmtId="176" fontId="0" fillId="56" borderId="145" xfId="0" applyNumberFormat="1" applyFont="1" applyFill="1" applyBorder="1" applyAlignment="1" applyProtection="1">
      <alignment vertical="center"/>
    </xf>
    <xf numFmtId="176" fontId="0" fillId="56" borderId="178" xfId="0" applyNumberFormat="1" applyFont="1" applyFill="1" applyBorder="1" applyAlignment="1" applyProtection="1">
      <alignment horizontal="right" vertical="center"/>
    </xf>
    <xf numFmtId="167" fontId="0" fillId="69" borderId="143" xfId="13" applyNumberFormat="1" applyFont="1" applyFill="1" applyBorder="1" applyAlignment="1" applyProtection="1">
      <alignment vertical="center"/>
    </xf>
    <xf numFmtId="167" fontId="0" fillId="69" borderId="188" xfId="13" applyNumberFormat="1" applyFont="1" applyFill="1" applyBorder="1" applyAlignment="1" applyProtection="1">
      <alignment vertical="center"/>
    </xf>
    <xf numFmtId="175" fontId="13" fillId="49" borderId="249" xfId="12" applyNumberFormat="1" applyFill="1" applyBorder="1" applyProtection="1">
      <protection locked="0"/>
    </xf>
    <xf numFmtId="175" fontId="13" fillId="12" borderId="249" xfId="12" applyNumberFormat="1" applyFill="1" applyBorder="1" applyProtection="1">
      <protection locked="0"/>
    </xf>
    <xf numFmtId="179" fontId="13" fillId="53" borderId="142" xfId="16" applyNumberFormat="1" applyFill="1" applyBorder="1" applyAlignment="1" applyProtection="1">
      <alignment horizontal="center" vertical="center"/>
    </xf>
    <xf numFmtId="179" fontId="13" fillId="53" borderId="141" xfId="16" applyNumberFormat="1" applyFill="1" applyBorder="1" applyAlignment="1" applyProtection="1">
      <alignment horizontal="center" vertical="center"/>
    </xf>
    <xf numFmtId="179" fontId="13" fillId="53" borderId="143" xfId="16" applyNumberFormat="1" applyFill="1" applyBorder="1" applyAlignment="1" applyProtection="1">
      <alignment horizontal="center" vertical="center"/>
    </xf>
    <xf numFmtId="0" fontId="0" fillId="54" borderId="142" xfId="0" applyFont="1" applyFill="1" applyBorder="1" applyAlignment="1" applyProtection="1">
      <alignment horizontal="left" vertical="center"/>
    </xf>
    <xf numFmtId="167" fontId="0" fillId="54" borderId="143" xfId="13" applyNumberFormat="1" applyFont="1" applyFill="1" applyBorder="1" applyAlignment="1" applyProtection="1">
      <alignment vertical="center"/>
    </xf>
    <xf numFmtId="167" fontId="0" fillId="56" borderId="170" xfId="13" applyNumberFormat="1" applyFont="1" applyFill="1" applyBorder="1" applyAlignment="1" applyProtection="1">
      <alignment vertical="center"/>
    </xf>
    <xf numFmtId="0" fontId="0" fillId="12" borderId="250" xfId="0" applyFill="1" applyBorder="1" applyAlignment="1" applyProtection="1">
      <alignment horizontal="left" vertical="center"/>
      <protection locked="0"/>
    </xf>
    <xf numFmtId="0" fontId="0" fillId="12" borderId="258" xfId="0" applyFill="1" applyBorder="1" applyAlignment="1" applyProtection="1">
      <alignment horizontal="left" vertical="center"/>
      <protection locked="0"/>
    </xf>
    <xf numFmtId="0" fontId="0" fillId="12" borderId="262" xfId="0" applyFill="1" applyBorder="1" applyAlignment="1" applyProtection="1">
      <alignment horizontal="left" vertical="center"/>
      <protection locked="0"/>
    </xf>
    <xf numFmtId="0" fontId="0" fillId="12" borderId="257" xfId="0" applyFill="1" applyBorder="1" applyAlignment="1" applyProtection="1">
      <alignment horizontal="left" vertical="center"/>
      <protection locked="0"/>
    </xf>
    <xf numFmtId="0" fontId="0" fillId="12" borderId="249" xfId="0" applyFill="1" applyBorder="1" applyAlignment="1" applyProtection="1">
      <alignment horizontal="left" vertical="center"/>
      <protection locked="0"/>
    </xf>
    <xf numFmtId="0" fontId="0" fillId="12" borderId="199" xfId="0" applyFill="1" applyBorder="1" applyAlignment="1" applyProtection="1">
      <alignment horizontal="left" vertical="center"/>
      <protection locked="0"/>
    </xf>
    <xf numFmtId="0" fontId="0" fillId="12" borderId="262" xfId="0" applyFill="1" applyBorder="1" applyProtection="1">
      <protection locked="0"/>
    </xf>
    <xf numFmtId="0" fontId="0" fillId="12" borderId="249" xfId="0" applyFill="1" applyBorder="1" applyProtection="1">
      <protection locked="0"/>
    </xf>
    <xf numFmtId="0" fontId="0" fillId="12" borderId="115" xfId="0" applyFill="1" applyBorder="1" applyAlignment="1" applyProtection="1">
      <alignment horizontal="left" vertical="center"/>
      <protection locked="0"/>
    </xf>
    <xf numFmtId="0" fontId="0" fillId="12" borderId="102" xfId="0" applyFill="1" applyBorder="1" applyAlignment="1" applyProtection="1">
      <alignment horizontal="left" vertical="center"/>
      <protection locked="0"/>
    </xf>
    <xf numFmtId="0" fontId="0" fillId="12" borderId="102" xfId="0" applyFill="1" applyBorder="1" applyProtection="1">
      <protection locked="0"/>
    </xf>
    <xf numFmtId="0" fontId="0" fillId="12" borderId="117" xfId="0" applyFill="1" applyBorder="1" applyAlignment="1" applyProtection="1">
      <alignment horizontal="left" vertical="center"/>
      <protection locked="0"/>
    </xf>
    <xf numFmtId="0" fontId="0" fillId="12" borderId="100" xfId="0" applyFill="1" applyBorder="1" applyAlignment="1" applyProtection="1">
      <alignment horizontal="left" vertical="center"/>
      <protection locked="0"/>
    </xf>
    <xf numFmtId="0" fontId="0" fillId="12" borderId="37" xfId="0" applyFill="1" applyBorder="1" applyAlignment="1" applyProtection="1">
      <alignment horizontal="left" vertical="center"/>
      <protection locked="0"/>
    </xf>
    <xf numFmtId="0" fontId="0" fillId="12" borderId="20" xfId="0" applyFill="1" applyBorder="1" applyAlignment="1" applyProtection="1">
      <alignment horizontal="left" vertical="center"/>
      <protection locked="0"/>
    </xf>
    <xf numFmtId="0" fontId="0" fillId="12" borderId="144" xfId="0" applyFill="1" applyBorder="1" applyAlignment="1" applyProtection="1">
      <alignment horizontal="left" vertical="center"/>
      <protection locked="0"/>
    </xf>
    <xf numFmtId="0" fontId="0" fillId="12" borderId="158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7" fillId="70" borderId="0" xfId="0" applyFont="1" applyFill="1" applyAlignment="1" applyProtection="1">
      <alignment horizontal="left" vertical="center" wrapText="1"/>
      <protection locked="0"/>
    </xf>
    <xf numFmtId="0" fontId="12" fillId="71" borderId="0" xfId="0" applyFont="1" applyFill="1" applyAlignment="1" applyProtection="1">
      <alignment horizontal="left" vertical="center" wrapText="1"/>
      <protection locked="0"/>
    </xf>
    <xf numFmtId="0" fontId="12" fillId="43" borderId="247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43" borderId="249" xfId="0" applyFont="1" applyFill="1" applyBorder="1" applyAlignment="1" applyProtection="1">
      <alignment horizontal="center" vertical="center"/>
      <protection locked="0"/>
    </xf>
    <xf numFmtId="164" fontId="0" fillId="43" borderId="249" xfId="31" applyFont="1" applyFill="1" applyBorder="1" applyAlignment="1" applyProtection="1">
      <alignment vertical="center"/>
      <protection locked="0"/>
    </xf>
    <xf numFmtId="164" fontId="0" fillId="0" borderId="249" xfId="0" applyNumberFormat="1" applyBorder="1" applyProtection="1">
      <protection locked="0"/>
    </xf>
    <xf numFmtId="3" fontId="0" fillId="43" borderId="24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43" borderId="0" xfId="0" applyFont="1" applyFill="1" applyAlignment="1" applyProtection="1">
      <alignment wrapText="1"/>
      <protection locked="0"/>
    </xf>
    <xf numFmtId="0" fontId="12" fillId="43" borderId="249" xfId="0" applyFont="1" applyFill="1" applyBorder="1" applyAlignment="1" applyProtection="1">
      <alignment horizontal="center" vertical="center" wrapText="1"/>
      <protection locked="0"/>
    </xf>
    <xf numFmtId="0" fontId="12" fillId="43" borderId="247" xfId="0" applyFont="1" applyFill="1" applyBorder="1" applyAlignment="1" applyProtection="1">
      <alignment vertical="center" wrapText="1"/>
      <protection locked="0"/>
    </xf>
    <xf numFmtId="0" fontId="0" fillId="12" borderId="279" xfId="0" applyFill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12" fillId="17" borderId="249" xfId="0" applyFont="1" applyFill="1" applyBorder="1" applyAlignment="1" applyProtection="1">
      <alignment horizontal="center" vertical="center" wrapText="1"/>
    </xf>
    <xf numFmtId="173" fontId="12" fillId="17" borderId="249" xfId="12" applyNumberFormat="1" applyFont="1" applyFill="1" applyBorder="1" applyAlignment="1" applyProtection="1">
      <alignment horizontal="center" vertical="center" wrapText="1"/>
    </xf>
    <xf numFmtId="0" fontId="10" fillId="17" borderId="249" xfId="0" applyFont="1" applyFill="1" applyBorder="1" applyAlignment="1" applyProtection="1">
      <alignment horizontal="center" vertical="center"/>
    </xf>
    <xf numFmtId="174" fontId="18" fillId="0" borderId="283" xfId="0" applyNumberFormat="1" applyFont="1" applyFill="1" applyBorder="1" applyAlignment="1" applyProtection="1">
      <alignment horizontal="left" vertical="center" wrapText="1"/>
    </xf>
    <xf numFmtId="167" fontId="18" fillId="29" borderId="249" xfId="13" applyNumberFormat="1" applyFont="1" applyFill="1" applyBorder="1" applyAlignment="1" applyProtection="1">
      <alignment vertical="center"/>
    </xf>
    <xf numFmtId="167" fontId="10" fillId="28" borderId="247" xfId="13" applyNumberFormat="1" applyFont="1" applyFill="1" applyBorder="1" applyAlignment="1" applyProtection="1">
      <alignment vertical="center"/>
    </xf>
    <xf numFmtId="0" fontId="0" fillId="0" borderId="247" xfId="0" applyBorder="1" applyAlignment="1" applyProtection="1">
      <alignment horizontal="left" vertical="center"/>
      <protection locked="0"/>
    </xf>
    <xf numFmtId="0" fontId="0" fillId="0" borderId="284" xfId="0" applyBorder="1" applyAlignment="1" applyProtection="1">
      <alignment horizontal="left" vertical="center"/>
      <protection locked="0"/>
    </xf>
    <xf numFmtId="0" fontId="0" fillId="0" borderId="257" xfId="0" applyBorder="1" applyAlignment="1" applyProtection="1">
      <alignment horizontal="left" vertical="center"/>
      <protection locked="0"/>
    </xf>
    <xf numFmtId="167" fontId="10" fillId="28" borderId="249" xfId="13" applyNumberFormat="1" applyFont="1" applyFill="1" applyBorder="1" applyAlignment="1" applyProtection="1">
      <alignment vertical="center"/>
    </xf>
    <xf numFmtId="167" fontId="10" fillId="28" borderId="285" xfId="13" applyNumberFormat="1" applyFont="1" applyFill="1" applyBorder="1" applyAlignment="1" applyProtection="1">
      <alignment vertical="center"/>
    </xf>
    <xf numFmtId="167" fontId="10" fillId="28" borderId="287" xfId="13" applyNumberFormat="1" applyFont="1" applyFill="1" applyBorder="1" applyAlignment="1" applyProtection="1">
      <alignment vertical="center"/>
    </xf>
    <xf numFmtId="167" fontId="10" fillId="28" borderId="288" xfId="13" applyNumberFormat="1" applyFont="1" applyFill="1" applyBorder="1" applyAlignment="1" applyProtection="1">
      <alignment vertical="center"/>
    </xf>
    <xf numFmtId="0" fontId="35" fillId="0" borderId="0" xfId="0" applyFont="1" applyProtection="1">
      <protection locked="0"/>
    </xf>
    <xf numFmtId="0" fontId="36" fillId="0" borderId="0" xfId="0" applyFont="1" applyBorder="1" applyAlignment="1" applyProtection="1">
      <alignment horizontal="right"/>
      <protection locked="0"/>
    </xf>
    <xf numFmtId="3" fontId="22" fillId="0" borderId="0" xfId="0" applyNumberFormat="1" applyFont="1" applyBorder="1" applyAlignment="1" applyProtection="1">
      <alignment horizontal="right"/>
      <protection locked="0"/>
    </xf>
    <xf numFmtId="0" fontId="37" fillId="0" borderId="0" xfId="0" applyFont="1" applyProtection="1">
      <protection locked="0"/>
    </xf>
    <xf numFmtId="3" fontId="37" fillId="0" borderId="0" xfId="0" applyNumberFormat="1" applyFont="1" applyBorder="1" applyProtection="1">
      <protection locked="0"/>
    </xf>
    <xf numFmtId="0" fontId="36" fillId="0" borderId="0" xfId="0" applyFont="1" applyBorder="1" applyAlignment="1" applyProtection="1">
      <protection locked="0"/>
    </xf>
    <xf numFmtId="174" fontId="29" fillId="0" borderId="283" xfId="0" applyNumberFormat="1" applyFont="1" applyFill="1" applyBorder="1" applyAlignment="1" applyProtection="1">
      <alignment horizontal="left" vertical="center" wrapText="1"/>
    </xf>
    <xf numFmtId="174" fontId="0" fillId="0" borderId="283" xfId="0" applyNumberFormat="1" applyFont="1" applyFill="1" applyBorder="1" applyAlignment="1" applyProtection="1">
      <alignment horizontal="left" vertical="center" wrapText="1"/>
    </xf>
    <xf numFmtId="174" fontId="29" fillId="0" borderId="283" xfId="0" applyNumberFormat="1" applyFont="1" applyFill="1" applyBorder="1" applyAlignment="1" applyProtection="1">
      <alignment horizontal="left" vertical="center"/>
    </xf>
    <xf numFmtId="174" fontId="18" fillId="0" borderId="283" xfId="0" applyNumberFormat="1" applyFont="1" applyFill="1" applyBorder="1" applyAlignment="1" applyProtection="1">
      <alignment horizontal="left" vertical="center"/>
    </xf>
    <xf numFmtId="174" fontId="18" fillId="0" borderId="283" xfId="0" applyNumberFormat="1" applyFont="1" applyFill="1" applyBorder="1" applyAlignment="1" applyProtection="1">
      <alignment vertical="center" wrapText="1"/>
    </xf>
    <xf numFmtId="1" fontId="29" fillId="0" borderId="185" xfId="0" applyNumberFormat="1" applyFont="1" applyBorder="1" applyAlignment="1" applyProtection="1">
      <alignment horizontal="left" vertical="center"/>
    </xf>
    <xf numFmtId="174" fontId="18" fillId="0" borderId="281" xfId="0" applyNumberFormat="1" applyFont="1" applyFill="1" applyBorder="1" applyAlignment="1" applyProtection="1">
      <alignment horizontal="left" vertical="center" wrapText="1"/>
    </xf>
    <xf numFmtId="0" fontId="0" fillId="0" borderId="247" xfId="0" applyBorder="1" applyAlignment="1" applyProtection="1">
      <alignment horizontal="left" vertical="center"/>
      <protection locked="0"/>
    </xf>
    <xf numFmtId="0" fontId="0" fillId="0" borderId="284" xfId="0" applyBorder="1" applyAlignment="1" applyProtection="1">
      <alignment horizontal="left" vertical="center"/>
      <protection locked="0"/>
    </xf>
    <xf numFmtId="0" fontId="0" fillId="0" borderId="257" xfId="0" applyBorder="1" applyAlignment="1" applyProtection="1">
      <alignment horizontal="left" vertical="center"/>
      <protection locked="0"/>
    </xf>
    <xf numFmtId="0" fontId="10" fillId="17" borderId="249" xfId="0" applyFont="1" applyFill="1" applyBorder="1" applyAlignment="1" applyProtection="1">
      <alignment horizontal="center" vertical="center"/>
    </xf>
    <xf numFmtId="0" fontId="0" fillId="0" borderId="284" xfId="0" applyBorder="1" applyAlignment="1" applyProtection="1">
      <alignment vertical="center"/>
      <protection locked="0"/>
    </xf>
    <xf numFmtId="0" fontId="0" fillId="0" borderId="257" xfId="0" applyBorder="1" applyAlignment="1" applyProtection="1">
      <alignment vertical="center"/>
      <protection locked="0"/>
    </xf>
    <xf numFmtId="0" fontId="0" fillId="0" borderId="247" xfId="0" applyBorder="1" applyAlignment="1" applyProtection="1">
      <alignment horizontal="left" vertical="center"/>
      <protection locked="0"/>
    </xf>
    <xf numFmtId="0" fontId="0" fillId="0" borderId="284" xfId="0" applyBorder="1" applyAlignment="1" applyProtection="1">
      <alignment horizontal="left" vertical="center"/>
      <protection locked="0"/>
    </xf>
    <xf numFmtId="0" fontId="0" fillId="0" borderId="257" xfId="0" applyBorder="1" applyAlignment="1" applyProtection="1">
      <alignment horizontal="left" vertical="center"/>
      <protection locked="0"/>
    </xf>
    <xf numFmtId="0" fontId="0" fillId="43" borderId="247" xfId="0" applyFill="1" applyBorder="1" applyAlignment="1" applyProtection="1">
      <alignment horizontal="left" vertical="center"/>
      <protection locked="0"/>
    </xf>
    <xf numFmtId="0" fontId="0" fillId="43" borderId="284" xfId="0" applyFill="1" applyBorder="1" applyAlignment="1" applyProtection="1">
      <alignment horizontal="left" vertical="center"/>
      <protection locked="0"/>
    </xf>
    <xf numFmtId="0" fontId="0" fillId="43" borderId="257" xfId="0" applyFill="1" applyBorder="1" applyAlignment="1" applyProtection="1">
      <alignment horizontal="left" vertical="center"/>
      <protection locked="0"/>
    </xf>
    <xf numFmtId="0" fontId="0" fillId="0" borderId="247" xfId="0" applyBorder="1" applyAlignment="1" applyProtection="1">
      <alignment horizontal="left" vertical="center"/>
      <protection locked="0"/>
    </xf>
    <xf numFmtId="0" fontId="0" fillId="43" borderId="247" xfId="0" applyFill="1" applyBorder="1" applyAlignment="1" applyProtection="1">
      <alignment horizontal="left" vertical="center"/>
      <protection locked="0"/>
    </xf>
    <xf numFmtId="0" fontId="32" fillId="0" borderId="247" xfId="0" applyFont="1" applyBorder="1" applyAlignment="1" applyProtection="1">
      <alignment horizontal="left" vertical="center"/>
      <protection locked="0"/>
    </xf>
    <xf numFmtId="0" fontId="32" fillId="0" borderId="284" xfId="0" applyFont="1" applyBorder="1" applyAlignment="1" applyProtection="1">
      <alignment horizontal="left" vertical="center"/>
      <protection locked="0"/>
    </xf>
    <xf numFmtId="0" fontId="32" fillId="0" borderId="257" xfId="0" applyFont="1" applyBorder="1" applyAlignment="1" applyProtection="1">
      <alignment horizontal="left" vertical="center"/>
      <protection locked="0"/>
    </xf>
    <xf numFmtId="0" fontId="0" fillId="0" borderId="247" xfId="0" applyBorder="1" applyAlignment="1" applyProtection="1">
      <alignment horizontal="left" vertical="center"/>
      <protection locked="0"/>
    </xf>
    <xf numFmtId="0" fontId="0" fillId="12" borderId="257" xfId="0" applyFill="1" applyBorder="1" applyAlignment="1" applyProtection="1">
      <alignment horizontal="left" vertical="center"/>
      <protection locked="0"/>
    </xf>
    <xf numFmtId="174" fontId="28" fillId="0" borderId="283" xfId="0" applyNumberFormat="1" applyFont="1" applyFill="1" applyBorder="1" applyAlignment="1" applyProtection="1">
      <alignment horizontal="left" vertical="center" wrapText="1"/>
    </xf>
    <xf numFmtId="167" fontId="28" fillId="45" borderId="249" xfId="13" applyNumberFormat="1" applyFont="1" applyFill="1" applyBorder="1" applyAlignment="1" applyProtection="1">
      <alignment vertical="center"/>
    </xf>
    <xf numFmtId="167" fontId="28" fillId="1" borderId="249" xfId="13" applyNumberFormat="1" applyFont="1" applyFill="1" applyBorder="1" applyAlignment="1" applyProtection="1">
      <alignment vertical="center"/>
    </xf>
    <xf numFmtId="175" fontId="28" fillId="1" borderId="249" xfId="12" applyNumberFormat="1" applyFont="1" applyFill="1" applyBorder="1" applyAlignment="1" applyProtection="1">
      <alignment vertical="center"/>
    </xf>
    <xf numFmtId="167" fontId="28" fillId="29" borderId="249" xfId="13" applyNumberFormat="1" applyFont="1" applyFill="1" applyBorder="1" applyAlignment="1" applyProtection="1">
      <alignment vertical="center"/>
    </xf>
    <xf numFmtId="0" fontId="28" fillId="0" borderId="0" xfId="0" applyFont="1" applyProtection="1">
      <protection locked="0"/>
    </xf>
    <xf numFmtId="167" fontId="28" fillId="12" borderId="249" xfId="13" applyNumberFormat="1" applyFont="1" applyFill="1" applyBorder="1" applyAlignment="1" applyProtection="1">
      <alignment vertical="center"/>
      <protection locked="0"/>
    </xf>
    <xf numFmtId="175" fontId="28" fillId="12" borderId="249" xfId="12" applyNumberFormat="1" applyFont="1" applyFill="1" applyBorder="1" applyAlignment="1" applyProtection="1">
      <alignment vertical="center"/>
      <protection locked="0"/>
    </xf>
    <xf numFmtId="1" fontId="28" fillId="0" borderId="185" xfId="0" applyNumberFormat="1" applyFont="1" applyBorder="1" applyAlignment="1" applyProtection="1">
      <alignment horizontal="left" vertical="center" wrapText="1"/>
    </xf>
    <xf numFmtId="167" fontId="0" fillId="29" borderId="249" xfId="13" applyNumberFormat="1" applyFont="1" applyFill="1" applyBorder="1" applyAlignment="1" applyProtection="1">
      <alignment vertical="center"/>
    </xf>
    <xf numFmtId="0" fontId="0" fillId="0" borderId="0" xfId="0" applyFont="1" applyProtection="1">
      <protection locked="0"/>
    </xf>
    <xf numFmtId="175" fontId="0" fillId="12" borderId="249" xfId="12" applyNumberFormat="1" applyFont="1" applyFill="1" applyBorder="1" applyAlignment="1" applyProtection="1">
      <alignment vertical="center"/>
      <protection locked="0"/>
    </xf>
    <xf numFmtId="167" fontId="28" fillId="28" borderId="247" xfId="13" applyNumberFormat="1" applyFont="1" applyFill="1" applyBorder="1" applyAlignment="1" applyProtection="1">
      <alignment vertical="center"/>
    </xf>
    <xf numFmtId="167" fontId="0" fillId="28" borderId="247" xfId="13" applyNumberFormat="1" applyFont="1" applyFill="1" applyBorder="1" applyAlignment="1" applyProtection="1">
      <alignment vertical="center"/>
    </xf>
    <xf numFmtId="167" fontId="28" fillId="28" borderId="249" xfId="13" applyNumberFormat="1" applyFont="1" applyFill="1" applyBorder="1" applyAlignment="1" applyProtection="1">
      <alignment vertical="center"/>
    </xf>
    <xf numFmtId="0" fontId="28" fillId="0" borderId="0" xfId="0" applyFont="1" applyAlignment="1" applyProtection="1">
      <alignment horizontal="left"/>
      <protection locked="0"/>
    </xf>
    <xf numFmtId="0" fontId="28" fillId="12" borderId="289" xfId="0" applyFont="1" applyFill="1" applyBorder="1" applyAlignment="1" applyProtection="1">
      <alignment horizontal="left" vertical="center"/>
      <protection locked="0"/>
    </xf>
    <xf numFmtId="0" fontId="0" fillId="12" borderId="289" xfId="0" applyFill="1" applyBorder="1" applyAlignment="1" applyProtection="1">
      <alignment horizontal="left" vertical="center"/>
      <protection locked="0"/>
    </xf>
    <xf numFmtId="0" fontId="0" fillId="12" borderId="273" xfId="0" applyFill="1" applyBorder="1" applyProtection="1">
      <protection locked="0"/>
    </xf>
    <xf numFmtId="167" fontId="0" fillId="0" borderId="0" xfId="0" applyNumberFormat="1" applyAlignment="1">
      <alignment vertical="center"/>
    </xf>
    <xf numFmtId="177" fontId="0" fillId="72" borderId="261" xfId="13" applyNumberFormat="1" applyFont="1" applyFill="1" applyBorder="1" applyAlignment="1" applyProtection="1">
      <alignment vertical="center"/>
      <protection locked="0"/>
    </xf>
    <xf numFmtId="177" fontId="0" fillId="72" borderId="262" xfId="13" applyNumberFormat="1" applyFont="1" applyFill="1" applyBorder="1" applyAlignment="1">
      <alignment vertical="center"/>
    </xf>
    <xf numFmtId="177" fontId="0" fillId="72" borderId="263" xfId="13" applyNumberFormat="1" applyFont="1" applyFill="1" applyBorder="1" applyAlignment="1">
      <alignment vertical="center"/>
    </xf>
    <xf numFmtId="177" fontId="0" fillId="73" borderId="248" xfId="13" applyNumberFormat="1" applyFont="1" applyFill="1" applyBorder="1" applyAlignment="1">
      <alignment vertical="center"/>
    </xf>
    <xf numFmtId="177" fontId="0" fillId="73" borderId="249" xfId="13" applyNumberFormat="1" applyFont="1" applyFill="1" applyBorder="1" applyAlignment="1">
      <alignment vertical="center"/>
    </xf>
    <xf numFmtId="177" fontId="0" fillId="73" borderId="250" xfId="13" applyNumberFormat="1" applyFont="1" applyFill="1" applyBorder="1" applyAlignment="1">
      <alignment vertical="center"/>
    </xf>
    <xf numFmtId="177" fontId="0" fillId="72" borderId="146" xfId="13" applyNumberFormat="1" applyFont="1" applyFill="1" applyBorder="1" applyAlignment="1" applyProtection="1">
      <alignment vertical="center"/>
      <protection locked="0"/>
    </xf>
    <xf numFmtId="177" fontId="0" fillId="72" borderId="144" xfId="13" applyNumberFormat="1" applyFont="1" applyFill="1" applyBorder="1" applyAlignment="1">
      <alignment vertical="center"/>
    </xf>
    <xf numFmtId="177" fontId="0" fillId="72" borderId="145" xfId="13" applyNumberFormat="1" applyFont="1" applyFill="1" applyBorder="1" applyAlignment="1">
      <alignment vertical="center"/>
    </xf>
    <xf numFmtId="0" fontId="20" fillId="0" borderId="0" xfId="20"/>
    <xf numFmtId="0" fontId="0" fillId="0" borderId="0" xfId="0" applyFont="1"/>
    <xf numFmtId="0" fontId="20" fillId="0" borderId="0" xfId="20" applyBorder="1" applyAlignment="1" applyProtection="1">
      <alignment horizontal="left" vertical="center"/>
    </xf>
    <xf numFmtId="0" fontId="20" fillId="0" borderId="0" xfId="20" applyBorder="1" applyAlignment="1" applyProtection="1">
      <alignment horizontal="left" vertical="center" wrapText="1"/>
    </xf>
    <xf numFmtId="0" fontId="20" fillId="0" borderId="0" xfId="20" applyBorder="1" applyAlignment="1" applyProtection="1">
      <alignment horizontal="left" vertical="center" indent="2"/>
    </xf>
    <xf numFmtId="0" fontId="20" fillId="0" borderId="0" xfId="20" applyFont="1"/>
    <xf numFmtId="167" fontId="0" fillId="9" borderId="169" xfId="13" applyNumberFormat="1" applyFont="1" applyFill="1" applyBorder="1" applyAlignment="1" applyProtection="1">
      <alignment horizontal="right" vertical="center"/>
    </xf>
    <xf numFmtId="167" fontId="0" fillId="9" borderId="170" xfId="13" applyNumberFormat="1" applyFont="1" applyFill="1" applyBorder="1" applyAlignment="1" applyProtection="1">
      <alignment horizontal="right" vertical="center"/>
    </xf>
    <xf numFmtId="0" fontId="0" fillId="0" borderId="203" xfId="0" applyFont="1" applyFill="1" applyBorder="1" applyAlignment="1" applyProtection="1">
      <alignment horizontal="center" vertical="center" wrapText="1"/>
    </xf>
    <xf numFmtId="0" fontId="0" fillId="0" borderId="94" xfId="0" applyFont="1" applyFill="1" applyBorder="1" applyAlignment="1" applyProtection="1">
      <alignment horizontal="center" vertical="center" wrapText="1"/>
    </xf>
    <xf numFmtId="0" fontId="0" fillId="0" borderId="198" xfId="0" applyFont="1" applyFill="1" applyBorder="1" applyAlignment="1" applyProtection="1">
      <alignment horizontal="center" vertical="center" wrapText="1"/>
    </xf>
    <xf numFmtId="0" fontId="0" fillId="0" borderId="221" xfId="0" applyFont="1" applyFill="1" applyBorder="1" applyAlignment="1" applyProtection="1">
      <alignment horizontal="center" vertical="center" wrapText="1"/>
    </xf>
    <xf numFmtId="0" fontId="0" fillId="0" borderId="222" xfId="0" applyFont="1" applyFill="1" applyBorder="1" applyAlignment="1" applyProtection="1">
      <alignment horizontal="center" vertical="center" wrapText="1"/>
    </xf>
    <xf numFmtId="0" fontId="0" fillId="0" borderId="97" xfId="0" applyFont="1" applyFill="1" applyBorder="1" applyAlignment="1" applyProtection="1">
      <alignment horizontal="center" vertical="center" wrapText="1"/>
    </xf>
    <xf numFmtId="167" fontId="21" fillId="31" borderId="193" xfId="0" applyNumberFormat="1" applyFont="1" applyFill="1" applyBorder="1" applyAlignment="1" applyProtection="1">
      <alignment horizontal="center" vertical="center"/>
    </xf>
    <xf numFmtId="0" fontId="22" fillId="0" borderId="206" xfId="0" applyFont="1" applyFill="1" applyBorder="1" applyAlignment="1" applyProtection="1">
      <alignment horizontal="center" vertical="center" wrapText="1"/>
    </xf>
    <xf numFmtId="0" fontId="22" fillId="0" borderId="150" xfId="0" applyFont="1" applyFill="1" applyBorder="1" applyAlignment="1" applyProtection="1">
      <alignment horizontal="center" vertical="center" wrapText="1"/>
    </xf>
    <xf numFmtId="0" fontId="22" fillId="0" borderId="64" xfId="0" applyFont="1" applyFill="1" applyBorder="1" applyAlignment="1" applyProtection="1">
      <alignment horizontal="center" vertical="center" wrapText="1"/>
    </xf>
    <xf numFmtId="167" fontId="21" fillId="31" borderId="126" xfId="0" applyNumberFormat="1" applyFont="1" applyFill="1" applyBorder="1" applyAlignment="1" applyProtection="1">
      <alignment horizontal="right" vertical="center"/>
    </xf>
    <xf numFmtId="167" fontId="21" fillId="31" borderId="193" xfId="0" applyNumberFormat="1" applyFont="1" applyFill="1" applyBorder="1" applyAlignment="1" applyProtection="1">
      <alignment horizontal="right" vertical="center"/>
    </xf>
    <xf numFmtId="0" fontId="22" fillId="43" borderId="206" xfId="0" applyFont="1" applyFill="1" applyBorder="1" applyAlignment="1" applyProtection="1">
      <alignment horizontal="center" vertical="center" wrapText="1"/>
    </xf>
    <xf numFmtId="0" fontId="22" fillId="43" borderId="150" xfId="0" applyFont="1" applyFill="1" applyBorder="1" applyAlignment="1" applyProtection="1">
      <alignment horizontal="center" vertical="center" wrapText="1"/>
    </xf>
    <xf numFmtId="0" fontId="22" fillId="43" borderId="64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right" vertical="center"/>
    </xf>
    <xf numFmtId="0" fontId="22" fillId="12" borderId="3" xfId="0" applyFont="1" applyFill="1" applyBorder="1" applyAlignment="1" applyProtection="1">
      <alignment horizontal="center" vertical="center"/>
      <protection locked="0"/>
    </xf>
    <xf numFmtId="0" fontId="22" fillId="12" borderId="57" xfId="0" applyFont="1" applyFill="1" applyBorder="1" applyAlignment="1" applyProtection="1">
      <alignment horizontal="center" vertical="center"/>
      <protection locked="0"/>
    </xf>
    <xf numFmtId="0" fontId="22" fillId="12" borderId="4" xfId="0" applyFont="1" applyFill="1" applyBorder="1" applyAlignment="1" applyProtection="1">
      <alignment horizontal="center" vertical="center"/>
      <protection locked="0"/>
    </xf>
    <xf numFmtId="167" fontId="12" fillId="15" borderId="207" xfId="0" applyNumberFormat="1" applyFont="1" applyFill="1" applyBorder="1" applyAlignment="1" applyProtection="1">
      <alignment horizontal="center" vertical="center"/>
    </xf>
    <xf numFmtId="167" fontId="12" fillId="15" borderId="192" xfId="0" applyNumberFormat="1" applyFont="1" applyFill="1" applyBorder="1" applyAlignment="1" applyProtection="1">
      <alignment horizontal="center" vertical="center"/>
    </xf>
    <xf numFmtId="167" fontId="22" fillId="38" borderId="127" xfId="0" applyNumberFormat="1" applyFont="1" applyFill="1" applyBorder="1" applyAlignment="1" applyProtection="1">
      <alignment horizontal="center" vertical="center" wrapText="1"/>
    </xf>
    <xf numFmtId="167" fontId="22" fillId="38" borderId="129" xfId="0" applyNumberFormat="1" applyFont="1" applyFill="1" applyBorder="1" applyAlignment="1" applyProtection="1">
      <alignment horizontal="center" vertical="center" wrapText="1"/>
    </xf>
    <xf numFmtId="167" fontId="22" fillId="38" borderId="132" xfId="0" applyNumberFormat="1" applyFont="1" applyFill="1" applyBorder="1" applyAlignment="1" applyProtection="1">
      <alignment horizontal="center" vertical="center" wrapText="1"/>
    </xf>
    <xf numFmtId="167" fontId="23" fillId="33" borderId="127" xfId="0" applyNumberFormat="1" applyFont="1" applyFill="1" applyBorder="1" applyAlignment="1" applyProtection="1">
      <alignment horizontal="center" vertical="center" wrapText="1"/>
    </xf>
    <xf numFmtId="167" fontId="23" fillId="33" borderId="129" xfId="0" applyNumberFormat="1" applyFont="1" applyFill="1" applyBorder="1" applyAlignment="1" applyProtection="1">
      <alignment horizontal="center" vertical="center" wrapText="1"/>
    </xf>
    <xf numFmtId="167" fontId="23" fillId="33" borderId="132" xfId="0" applyNumberFormat="1" applyFont="1" applyFill="1" applyBorder="1" applyAlignment="1" applyProtection="1">
      <alignment horizontal="center" vertical="center" wrapText="1"/>
    </xf>
    <xf numFmtId="167" fontId="26" fillId="44" borderId="209" xfId="0" applyNumberFormat="1" applyFont="1" applyFill="1" applyBorder="1" applyAlignment="1" applyProtection="1">
      <alignment horizontal="center" vertical="center" wrapText="1"/>
    </xf>
    <xf numFmtId="167" fontId="26" fillId="44" borderId="93" xfId="0" applyNumberFormat="1" applyFont="1" applyFill="1" applyBorder="1" applyAlignment="1" applyProtection="1">
      <alignment horizontal="center" vertical="center" wrapText="1"/>
    </xf>
    <xf numFmtId="167" fontId="17" fillId="33" borderId="95" xfId="0" applyNumberFormat="1" applyFont="1" applyFill="1" applyBorder="1" applyAlignment="1" applyProtection="1">
      <alignment horizontal="center" vertical="center" wrapText="1"/>
    </xf>
    <xf numFmtId="167" fontId="17" fillId="33" borderId="94" xfId="0" applyNumberFormat="1" applyFont="1" applyFill="1" applyBorder="1" applyAlignment="1" applyProtection="1">
      <alignment horizontal="center" vertical="center" wrapText="1"/>
    </xf>
    <xf numFmtId="167" fontId="17" fillId="33" borderId="23" xfId="0" applyNumberFormat="1" applyFont="1" applyFill="1" applyBorder="1" applyAlignment="1" applyProtection="1">
      <alignment horizontal="center" vertical="center" wrapText="1"/>
    </xf>
    <xf numFmtId="167" fontId="17" fillId="33" borderId="89" xfId="0" applyNumberFormat="1" applyFont="1" applyFill="1" applyBorder="1" applyAlignment="1" applyProtection="1">
      <alignment horizontal="center" vertical="center" wrapText="1"/>
    </xf>
    <xf numFmtId="167" fontId="17" fillId="33" borderId="156" xfId="0" applyNumberFormat="1" applyFont="1" applyFill="1" applyBorder="1" applyAlignment="1" applyProtection="1">
      <alignment horizontal="center" vertical="center" wrapText="1"/>
    </xf>
    <xf numFmtId="167" fontId="17" fillId="33" borderId="15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indent="2"/>
    </xf>
    <xf numFmtId="0" fontId="12" fillId="15" borderId="204" xfId="0" applyFont="1" applyFill="1" applyBorder="1" applyAlignment="1" applyProtection="1">
      <alignment horizontal="center" vertical="center" wrapText="1"/>
    </xf>
    <xf numFmtId="0" fontId="12" fillId="15" borderId="205" xfId="0" applyFont="1" applyFill="1" applyBorder="1" applyAlignment="1" applyProtection="1">
      <alignment horizontal="center" vertical="center" wrapText="1"/>
    </xf>
    <xf numFmtId="0" fontId="12" fillId="15" borderId="201" xfId="0" applyFont="1" applyFill="1" applyBorder="1" applyAlignment="1" applyProtection="1">
      <alignment horizontal="center" vertical="center" wrapText="1"/>
    </xf>
    <xf numFmtId="0" fontId="12" fillId="15" borderId="202" xfId="0" applyFont="1" applyFill="1" applyBorder="1" applyAlignment="1" applyProtection="1">
      <alignment horizontal="center" vertical="center" wrapText="1"/>
    </xf>
    <xf numFmtId="0" fontId="21" fillId="43" borderId="225" xfId="0" applyFont="1" applyFill="1" applyBorder="1" applyAlignment="1">
      <alignment horizontal="center" vertical="center" wrapText="1"/>
    </xf>
    <xf numFmtId="0" fontId="21" fillId="43" borderId="154" xfId="0" applyFont="1" applyFill="1" applyBorder="1" applyAlignment="1">
      <alignment horizontal="center" vertical="center" wrapText="1"/>
    </xf>
    <xf numFmtId="0" fontId="21" fillId="43" borderId="226" xfId="0" applyFont="1" applyFill="1" applyBorder="1" applyAlignment="1">
      <alignment horizontal="center" vertical="center" wrapText="1"/>
    </xf>
    <xf numFmtId="0" fontId="21" fillId="0" borderId="148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0" borderId="149" xfId="0" applyFont="1" applyFill="1" applyBorder="1" applyAlignment="1" applyProtection="1">
      <alignment horizontal="center" vertical="center" wrapText="1"/>
    </xf>
    <xf numFmtId="0" fontId="22" fillId="13" borderId="167" xfId="0" applyFont="1" applyFill="1" applyBorder="1" applyAlignment="1" applyProtection="1">
      <alignment horizontal="center" vertical="center"/>
      <protection locked="0"/>
    </xf>
    <xf numFmtId="0" fontId="22" fillId="13" borderId="168" xfId="0" applyFont="1" applyFill="1" applyBorder="1" applyAlignment="1" applyProtection="1">
      <alignment horizontal="center" vertical="center"/>
      <protection locked="0"/>
    </xf>
    <xf numFmtId="167" fontId="23" fillId="33" borderId="52" xfId="0" applyNumberFormat="1" applyFont="1" applyFill="1" applyBorder="1" applyAlignment="1" applyProtection="1">
      <alignment horizontal="center" vertical="center" wrapText="1"/>
    </xf>
    <xf numFmtId="167" fontId="23" fillId="33" borderId="53" xfId="0" applyNumberFormat="1" applyFont="1" applyFill="1" applyBorder="1" applyAlignment="1" applyProtection="1">
      <alignment horizontal="center" vertical="center" wrapText="1"/>
    </xf>
    <xf numFmtId="167" fontId="23" fillId="33" borderId="54" xfId="0" applyNumberFormat="1" applyFont="1" applyFill="1" applyBorder="1" applyAlignment="1" applyProtection="1">
      <alignment horizontal="center" vertical="center" wrapText="1"/>
    </xf>
    <xf numFmtId="0" fontId="22" fillId="16" borderId="39" xfId="0" applyFont="1" applyFill="1" applyBorder="1" applyAlignment="1" applyProtection="1">
      <alignment horizontal="center" vertical="center" wrapText="1"/>
    </xf>
    <xf numFmtId="0" fontId="22" fillId="16" borderId="61" xfId="0" applyFont="1" applyFill="1" applyBorder="1" applyAlignment="1" applyProtection="1">
      <alignment horizontal="center" vertical="center" wrapText="1"/>
    </xf>
    <xf numFmtId="167" fontId="23" fillId="33" borderId="21" xfId="0" applyNumberFormat="1" applyFont="1" applyFill="1" applyBorder="1" applyAlignment="1" applyProtection="1">
      <alignment horizontal="center" vertical="center" wrapText="1"/>
    </xf>
    <xf numFmtId="167" fontId="23" fillId="33" borderId="22" xfId="0" applyNumberFormat="1" applyFont="1" applyFill="1" applyBorder="1" applyAlignment="1" applyProtection="1">
      <alignment horizontal="center" vertical="center" wrapText="1"/>
    </xf>
    <xf numFmtId="167" fontId="23" fillId="33" borderId="81" xfId="0" applyNumberFormat="1" applyFont="1" applyFill="1" applyBorder="1" applyAlignment="1" applyProtection="1">
      <alignment horizontal="center" vertical="center" wrapText="1"/>
    </xf>
    <xf numFmtId="0" fontId="24" fillId="11" borderId="0" xfId="0" applyFont="1" applyFill="1" applyBorder="1" applyAlignment="1" applyProtection="1">
      <alignment horizontal="left" vertical="center" indent="2"/>
    </xf>
    <xf numFmtId="0" fontId="22" fillId="15" borderId="26" xfId="0" applyFont="1" applyFill="1" applyBorder="1" applyAlignment="1" applyProtection="1">
      <alignment horizontal="center" vertical="center" wrapText="1"/>
    </xf>
    <xf numFmtId="0" fontId="22" fillId="15" borderId="58" xfId="0" applyFont="1" applyFill="1" applyBorder="1" applyAlignment="1" applyProtection="1">
      <alignment horizontal="center" vertical="center" wrapText="1"/>
    </xf>
    <xf numFmtId="0" fontId="22" fillId="16" borderId="172" xfId="0" applyFont="1" applyFill="1" applyBorder="1" applyAlignment="1" applyProtection="1">
      <alignment horizontal="center" vertical="center" wrapText="1"/>
    </xf>
    <xf numFmtId="0" fontId="22" fillId="16" borderId="173" xfId="0" applyFont="1" applyFill="1" applyBorder="1" applyAlignment="1" applyProtection="1">
      <alignment horizontal="center" vertical="center" wrapText="1"/>
    </xf>
    <xf numFmtId="0" fontId="22" fillId="15" borderId="169" xfId="0" applyFont="1" applyFill="1" applyBorder="1" applyAlignment="1" applyProtection="1">
      <alignment horizontal="center" vertical="center" wrapText="1"/>
    </xf>
    <xf numFmtId="0" fontId="22" fillId="15" borderId="152" xfId="0" applyFont="1" applyFill="1" applyBorder="1" applyAlignment="1" applyProtection="1">
      <alignment horizontal="center" vertical="center" wrapText="1"/>
    </xf>
    <xf numFmtId="0" fontId="21" fillId="45" borderId="68" xfId="0" applyFont="1" applyFill="1" applyBorder="1" applyAlignment="1" applyProtection="1">
      <alignment horizontal="center" vertical="center" wrapText="1"/>
    </xf>
    <xf numFmtId="0" fontId="21" fillId="45" borderId="174" xfId="0" applyFont="1" applyFill="1" applyBorder="1" applyAlignment="1" applyProtection="1">
      <alignment horizontal="center" vertical="center" wrapText="1"/>
    </xf>
    <xf numFmtId="0" fontId="21" fillId="45" borderId="70" xfId="0" applyFont="1" applyFill="1" applyBorder="1" applyAlignment="1" applyProtection="1">
      <alignment horizontal="center" vertical="center" wrapText="1"/>
    </xf>
    <xf numFmtId="167" fontId="23" fillId="33" borderId="75" xfId="0" applyNumberFormat="1" applyFont="1" applyFill="1" applyBorder="1" applyAlignment="1" applyProtection="1">
      <alignment horizontal="center" vertical="center" wrapText="1"/>
    </xf>
    <xf numFmtId="167" fontId="23" fillId="33" borderId="76" xfId="0" applyNumberFormat="1" applyFont="1" applyFill="1" applyBorder="1" applyAlignment="1" applyProtection="1">
      <alignment horizontal="center" vertical="center" wrapText="1"/>
    </xf>
    <xf numFmtId="167" fontId="23" fillId="33" borderId="77" xfId="0" applyNumberFormat="1" applyFont="1" applyFill="1" applyBorder="1" applyAlignment="1" applyProtection="1">
      <alignment horizontal="center" vertical="center" wrapText="1"/>
    </xf>
    <xf numFmtId="167" fontId="12" fillId="15" borderId="82" xfId="0" applyNumberFormat="1" applyFont="1" applyFill="1" applyBorder="1" applyAlignment="1" applyProtection="1">
      <alignment horizontal="center" vertical="center" wrapText="1"/>
    </xf>
    <xf numFmtId="167" fontId="12" fillId="15" borderId="83" xfId="0" applyNumberFormat="1" applyFont="1" applyFill="1" applyBorder="1" applyAlignment="1" applyProtection="1">
      <alignment horizontal="center" vertical="center" wrapText="1"/>
    </xf>
    <xf numFmtId="167" fontId="12" fillId="15" borderId="8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</xf>
    <xf numFmtId="0" fontId="10" fillId="16" borderId="7" xfId="0" applyFont="1" applyFill="1" applyBorder="1" applyAlignment="1" applyProtection="1">
      <alignment horizontal="center" vertical="center"/>
    </xf>
    <xf numFmtId="0" fontId="10" fillId="16" borderId="5" xfId="0" applyFont="1" applyFill="1" applyBorder="1" applyAlignment="1" applyProtection="1">
      <alignment horizontal="center" vertical="center"/>
    </xf>
    <xf numFmtId="0" fontId="10" fillId="15" borderId="138" xfId="0" applyFont="1" applyFill="1" applyBorder="1" applyAlignment="1" applyProtection="1">
      <alignment horizontal="center" vertical="center"/>
    </xf>
    <xf numFmtId="0" fontId="10" fillId="15" borderId="184" xfId="0" applyFont="1" applyFill="1" applyBorder="1" applyAlignment="1" applyProtection="1">
      <alignment horizontal="center" vertical="center"/>
    </xf>
    <xf numFmtId="0" fontId="12" fillId="17" borderId="7" xfId="0" applyFont="1" applyFill="1" applyBorder="1" applyAlignment="1" applyProtection="1">
      <alignment horizontal="center" vertical="center"/>
    </xf>
    <xf numFmtId="0" fontId="12" fillId="17" borderId="12" xfId="0" applyFont="1" applyFill="1" applyBorder="1" applyAlignment="1" applyProtection="1">
      <alignment horizontal="center" vertical="center"/>
    </xf>
    <xf numFmtId="0" fontId="22" fillId="1" borderId="264" xfId="0" applyFont="1" applyFill="1" applyBorder="1" applyAlignment="1" applyProtection="1">
      <alignment horizontal="center" vertical="center" wrapText="1"/>
    </xf>
    <xf numFmtId="0" fontId="22" fillId="1" borderId="150" xfId="0" applyFont="1" applyFill="1" applyBorder="1" applyAlignment="1" applyProtection="1">
      <alignment horizontal="center" vertical="center" wrapText="1"/>
    </xf>
    <xf numFmtId="0" fontId="22" fillId="1" borderId="64" xfId="0" applyFont="1" applyFill="1" applyBorder="1" applyAlignment="1" applyProtection="1">
      <alignment horizontal="center" vertical="center" wrapText="1"/>
    </xf>
    <xf numFmtId="0" fontId="22" fillId="0" borderId="264" xfId="0" applyFont="1" applyFill="1" applyBorder="1" applyAlignment="1" applyProtection="1">
      <alignment horizontal="center" vertical="center" wrapText="1"/>
    </xf>
    <xf numFmtId="0" fontId="33" fillId="50" borderId="278" xfId="0" applyFont="1" applyFill="1" applyBorder="1" applyAlignment="1" applyProtection="1">
      <alignment horizontal="center" vertical="center" wrapText="1"/>
    </xf>
    <xf numFmtId="0" fontId="33" fillId="50" borderId="279" xfId="0" applyFont="1" applyFill="1" applyBorder="1" applyAlignment="1" applyProtection="1">
      <alignment horizontal="center" vertical="center" wrapText="1"/>
    </xf>
    <xf numFmtId="0" fontId="34" fillId="36" borderId="273" xfId="0" applyFont="1" applyFill="1" applyBorder="1" applyAlignment="1" applyProtection="1">
      <alignment horizontal="center" vertical="center"/>
    </xf>
    <xf numFmtId="0" fontId="34" fillId="36" borderId="199" xfId="0" applyFont="1" applyFill="1" applyBorder="1" applyAlignment="1" applyProtection="1">
      <alignment horizontal="center" vertical="center"/>
    </xf>
    <xf numFmtId="0" fontId="22" fillId="12" borderId="31" xfId="0" applyFont="1" applyFill="1" applyBorder="1" applyAlignment="1" applyProtection="1">
      <alignment horizontal="center" vertical="center"/>
      <protection locked="0"/>
    </xf>
    <xf numFmtId="0" fontId="22" fillId="12" borderId="18" xfId="0" applyFont="1" applyFill="1" applyBorder="1" applyAlignment="1" applyProtection="1">
      <alignment horizontal="center" vertical="center"/>
      <protection locked="0"/>
    </xf>
    <xf numFmtId="0" fontId="10" fillId="17" borderId="141" xfId="0" applyFont="1" applyFill="1" applyBorder="1" applyAlignment="1" applyProtection="1">
      <alignment horizontal="center" vertical="center"/>
    </xf>
    <xf numFmtId="0" fontId="10" fillId="16" borderId="141" xfId="0" applyFont="1" applyFill="1" applyBorder="1" applyAlignment="1" applyProtection="1">
      <alignment horizontal="center" vertical="center" wrapText="1"/>
    </xf>
    <xf numFmtId="165" fontId="12" fillId="18" borderId="180" xfId="13" applyFont="1" applyFill="1" applyBorder="1" applyAlignment="1" applyProtection="1">
      <alignment horizontal="center" vertical="center" wrapText="1"/>
    </xf>
    <xf numFmtId="165" fontId="12" fillId="18" borderId="94" xfId="13" applyFont="1" applyFill="1" applyBorder="1" applyAlignment="1" applyProtection="1">
      <alignment horizontal="center" vertical="center" wrapText="1"/>
    </xf>
    <xf numFmtId="176" fontId="0" fillId="26" borderId="148" xfId="0" applyNumberFormat="1" applyFont="1" applyFill="1" applyBorder="1" applyAlignment="1" applyProtection="1">
      <alignment horizontal="center" vertical="center"/>
    </xf>
    <xf numFmtId="176" fontId="0" fillId="26" borderId="119" xfId="0" applyNumberFormat="1" applyFont="1" applyFill="1" applyBorder="1" applyAlignment="1" applyProtection="1">
      <alignment horizontal="center" vertical="center"/>
    </xf>
    <xf numFmtId="0" fontId="9" fillId="47" borderId="149" xfId="0" applyFont="1" applyFill="1" applyBorder="1" applyAlignment="1" applyProtection="1">
      <alignment horizontal="center" vertical="center"/>
    </xf>
    <xf numFmtId="0" fontId="9" fillId="47" borderId="160" xfId="0" applyFont="1" applyFill="1" applyBorder="1" applyAlignment="1" applyProtection="1">
      <alignment horizontal="center" vertical="center"/>
    </xf>
    <xf numFmtId="0" fontId="9" fillId="46" borderId="149" xfId="0" applyFont="1" applyFill="1" applyBorder="1" applyAlignment="1" applyProtection="1">
      <alignment horizontal="center" vertical="center"/>
    </xf>
    <xf numFmtId="0" fontId="9" fillId="46" borderId="160" xfId="0" applyFont="1" applyFill="1" applyBorder="1" applyAlignment="1" applyProtection="1">
      <alignment horizontal="center" vertical="center"/>
    </xf>
    <xf numFmtId="176" fontId="0" fillId="26" borderId="120" xfId="0" applyNumberFormat="1" applyFont="1" applyFill="1" applyBorder="1" applyAlignment="1" applyProtection="1">
      <alignment horizontal="center" vertical="center"/>
    </xf>
    <xf numFmtId="0" fontId="12" fillId="16" borderId="156" xfId="0" applyFont="1" applyFill="1" applyBorder="1" applyAlignment="1" applyProtection="1">
      <alignment horizontal="center" vertical="center" wrapText="1"/>
    </xf>
    <xf numFmtId="0" fontId="12" fillId="16" borderId="64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10" fillId="16" borderId="103" xfId="0" applyFont="1" applyFill="1" applyBorder="1" applyAlignment="1" applyProtection="1">
      <alignment horizontal="center" vertical="center" wrapText="1"/>
    </xf>
    <xf numFmtId="0" fontId="17" fillId="47" borderId="148" xfId="0" applyFont="1" applyFill="1" applyBorder="1" applyAlignment="1" applyProtection="1">
      <alignment horizontal="center" vertical="center"/>
    </xf>
    <xf numFmtId="0" fontId="17" fillId="47" borderId="119" xfId="0" applyFont="1" applyFill="1" applyBorder="1" applyAlignment="1" applyProtection="1">
      <alignment horizontal="center" vertical="center"/>
    </xf>
    <xf numFmtId="0" fontId="17" fillId="46" borderId="148" xfId="0" applyFont="1" applyFill="1" applyBorder="1" applyAlignment="1" applyProtection="1">
      <alignment horizontal="center" vertical="center"/>
    </xf>
    <xf numFmtId="0" fontId="17" fillId="46" borderId="119" xfId="0" applyFont="1" applyFill="1" applyBorder="1" applyAlignment="1" applyProtection="1">
      <alignment horizontal="center" vertical="center"/>
    </xf>
    <xf numFmtId="0" fontId="9" fillId="14" borderId="149" xfId="0" applyFont="1" applyFill="1" applyBorder="1" applyAlignment="1" applyProtection="1">
      <alignment horizontal="center" vertical="center"/>
    </xf>
    <xf numFmtId="0" fontId="9" fillId="14" borderId="160" xfId="0" applyFont="1" applyFill="1" applyBorder="1" applyAlignment="1" applyProtection="1">
      <alignment horizontal="center" vertical="center"/>
    </xf>
    <xf numFmtId="0" fontId="17" fillId="14" borderId="118" xfId="0" applyFont="1" applyFill="1" applyBorder="1" applyAlignment="1" applyProtection="1">
      <alignment horizontal="center" vertical="center"/>
    </xf>
    <xf numFmtId="0" fontId="17" fillId="14" borderId="107" xfId="0" applyFont="1" applyFill="1" applyBorder="1" applyAlignment="1" applyProtection="1">
      <alignment horizontal="center" vertical="center"/>
    </xf>
    <xf numFmtId="0" fontId="17" fillId="47" borderId="118" xfId="0" applyFont="1" applyFill="1" applyBorder="1" applyAlignment="1" applyProtection="1">
      <alignment horizontal="center" vertical="center"/>
    </xf>
    <xf numFmtId="0" fontId="17" fillId="47" borderId="140" xfId="0" applyFont="1" applyFill="1" applyBorder="1" applyAlignment="1" applyProtection="1">
      <alignment horizontal="center" vertical="center"/>
    </xf>
    <xf numFmtId="0" fontId="17" fillId="46" borderId="120" xfId="0" applyFont="1" applyFill="1" applyBorder="1" applyAlignment="1" applyProtection="1">
      <alignment horizontal="center" vertical="center"/>
    </xf>
    <xf numFmtId="0" fontId="17" fillId="46" borderId="140" xfId="0" applyFont="1" applyFill="1" applyBorder="1" applyAlignment="1" applyProtection="1">
      <alignment horizontal="center" vertical="center"/>
    </xf>
    <xf numFmtId="0" fontId="17" fillId="14" borderId="148" xfId="0" applyFont="1" applyFill="1" applyBorder="1" applyAlignment="1" applyProtection="1">
      <alignment horizontal="center" vertical="center"/>
    </xf>
    <xf numFmtId="0" fontId="17" fillId="14" borderId="119" xfId="0" applyFont="1" applyFill="1" applyBorder="1" applyAlignment="1" applyProtection="1">
      <alignment horizontal="center" vertical="center"/>
    </xf>
    <xf numFmtId="0" fontId="22" fillId="46" borderId="106" xfId="0" applyFont="1" applyFill="1" applyBorder="1" applyAlignment="1" applyProtection="1">
      <alignment horizontal="center" vertical="center" textRotation="90" wrapText="1"/>
    </xf>
    <xf numFmtId="0" fontId="22" fillId="46" borderId="108" xfId="0" applyFont="1" applyFill="1" applyBorder="1" applyAlignment="1" applyProtection="1">
      <alignment horizontal="center" vertical="center" textRotation="90" wrapText="1"/>
    </xf>
    <xf numFmtId="0" fontId="22" fillId="46" borderId="64" xfId="0" applyFont="1" applyFill="1" applyBorder="1" applyAlignment="1" applyProtection="1">
      <alignment horizontal="center" vertical="center" textRotation="90" wrapText="1"/>
    </xf>
    <xf numFmtId="0" fontId="22" fillId="46" borderId="106" xfId="0" applyFont="1" applyFill="1" applyBorder="1" applyAlignment="1" applyProtection="1">
      <alignment horizontal="left" vertical="center" wrapText="1"/>
    </xf>
    <xf numFmtId="0" fontId="22" fillId="46" borderId="108" xfId="0" applyFont="1" applyFill="1" applyBorder="1" applyAlignment="1" applyProtection="1">
      <alignment horizontal="left" vertical="center" wrapText="1"/>
    </xf>
    <xf numFmtId="0" fontId="22" fillId="46" borderId="64" xfId="0" applyFont="1" applyFill="1" applyBorder="1" applyAlignment="1" applyProtection="1">
      <alignment horizontal="left" vertical="center" wrapText="1"/>
    </xf>
    <xf numFmtId="0" fontId="25" fillId="46" borderId="111" xfId="0" applyFont="1" applyFill="1" applyBorder="1" applyAlignment="1" applyProtection="1">
      <alignment horizontal="center" vertical="center" textRotation="90" wrapText="1"/>
    </xf>
    <xf numFmtId="0" fontId="25" fillId="46" borderId="96" xfId="0" applyFont="1" applyFill="1" applyBorder="1" applyAlignment="1" applyProtection="1">
      <alignment horizontal="center" vertical="center" textRotation="90" wrapText="1"/>
    </xf>
    <xf numFmtId="0" fontId="25" fillId="46" borderId="92" xfId="0" applyFont="1" applyFill="1" applyBorder="1" applyAlignment="1" applyProtection="1">
      <alignment horizontal="center" vertical="center" textRotation="90" wrapText="1"/>
    </xf>
    <xf numFmtId="0" fontId="22" fillId="12" borderId="169" xfId="0" applyFont="1" applyFill="1" applyBorder="1" applyAlignment="1" applyProtection="1">
      <alignment horizontal="left" vertical="center" wrapText="1"/>
      <protection locked="0"/>
    </xf>
    <xf numFmtId="0" fontId="22" fillId="12" borderId="170" xfId="0" applyFont="1" applyFill="1" applyBorder="1" applyAlignment="1" applyProtection="1">
      <alignment horizontal="left" vertical="center" wrapText="1"/>
      <protection locked="0"/>
    </xf>
    <xf numFmtId="0" fontId="22" fillId="12" borderId="171" xfId="0" applyFont="1" applyFill="1" applyBorder="1" applyAlignment="1" applyProtection="1">
      <alignment horizontal="left" vertical="center" wrapText="1"/>
      <protection locked="0"/>
    </xf>
    <xf numFmtId="0" fontId="22" fillId="12" borderId="112" xfId="0" applyFont="1" applyFill="1" applyBorder="1" applyAlignment="1" applyProtection="1">
      <alignment horizontal="left" vertical="center" wrapText="1"/>
      <protection locked="0"/>
    </xf>
    <xf numFmtId="0" fontId="22" fillId="12" borderId="113" xfId="0" applyFont="1" applyFill="1" applyBorder="1" applyAlignment="1" applyProtection="1">
      <alignment horizontal="left" vertical="center" wrapText="1"/>
      <protection locked="0"/>
    </xf>
    <xf numFmtId="0" fontId="22" fillId="12" borderId="110" xfId="0" applyFont="1" applyFill="1" applyBorder="1" applyAlignment="1" applyProtection="1">
      <alignment horizontal="left" vertical="center" wrapText="1"/>
      <protection locked="0"/>
    </xf>
    <xf numFmtId="0" fontId="22" fillId="12" borderId="106" xfId="0" applyFont="1" applyFill="1" applyBorder="1" applyAlignment="1" applyProtection="1">
      <alignment horizontal="left" vertical="center" wrapText="1"/>
      <protection locked="0"/>
    </xf>
    <xf numFmtId="0" fontId="22" fillId="12" borderId="150" xfId="0" applyFont="1" applyFill="1" applyBorder="1" applyAlignment="1" applyProtection="1">
      <alignment horizontal="left" vertical="center" wrapText="1"/>
      <protection locked="0"/>
    </xf>
    <xf numFmtId="0" fontId="22" fillId="12" borderId="108" xfId="0" applyFont="1" applyFill="1" applyBorder="1" applyAlignment="1" applyProtection="1">
      <alignment horizontal="left" vertical="center" wrapText="1"/>
      <protection locked="0"/>
    </xf>
    <xf numFmtId="0" fontId="22" fillId="12" borderId="64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center" vertical="center"/>
    </xf>
    <xf numFmtId="0" fontId="12" fillId="17" borderId="20" xfId="0" applyFont="1" applyFill="1" applyBorder="1" applyAlignment="1" applyProtection="1">
      <alignment horizontal="center" vertical="center" wrapText="1"/>
    </xf>
    <xf numFmtId="0" fontId="12" fillId="17" borderId="123" xfId="0" applyFont="1" applyFill="1" applyBorder="1" applyAlignment="1" applyProtection="1">
      <alignment horizontal="center" vertical="center" wrapText="1"/>
    </xf>
    <xf numFmtId="0" fontId="10" fillId="15" borderId="20" xfId="0" applyFont="1" applyFill="1" applyBorder="1" applyAlignment="1" applyProtection="1">
      <alignment horizontal="center" vertical="center" wrapText="1"/>
    </xf>
    <xf numFmtId="0" fontId="10" fillId="15" borderId="123" xfId="0" applyFont="1" applyFill="1" applyBorder="1" applyAlignment="1" applyProtection="1">
      <alignment horizontal="center" vertical="center" wrapText="1"/>
    </xf>
    <xf numFmtId="0" fontId="12" fillId="26" borderId="49" xfId="0" applyFont="1" applyFill="1" applyBorder="1" applyAlignment="1" applyProtection="1">
      <alignment horizontal="center" vertical="center" wrapText="1"/>
    </xf>
    <xf numFmtId="0" fontId="12" fillId="26" borderId="150" xfId="0" applyFont="1" applyFill="1" applyBorder="1" applyAlignment="1" applyProtection="1">
      <alignment horizontal="center" vertical="center" wrapText="1"/>
    </xf>
    <xf numFmtId="0" fontId="17" fillId="14" borderId="157" xfId="0" applyFont="1" applyFill="1" applyBorder="1" applyAlignment="1" applyProtection="1">
      <alignment horizontal="center" vertical="center"/>
    </xf>
    <xf numFmtId="0" fontId="17" fillId="46" borderId="157" xfId="0" applyFont="1" applyFill="1" applyBorder="1" applyAlignment="1" applyProtection="1">
      <alignment horizontal="center" vertical="center"/>
    </xf>
    <xf numFmtId="0" fontId="12" fillId="16" borderId="42" xfId="0" applyFont="1" applyFill="1" applyBorder="1" applyAlignment="1" applyProtection="1">
      <alignment horizontal="center" vertical="center" wrapText="1"/>
    </xf>
    <xf numFmtId="0" fontId="12" fillId="16" borderId="46" xfId="0" applyFont="1" applyFill="1" applyBorder="1" applyAlignment="1" applyProtection="1">
      <alignment horizontal="center" vertical="center" wrapText="1"/>
    </xf>
    <xf numFmtId="0" fontId="12" fillId="16" borderId="50" xfId="0" applyFont="1" applyFill="1" applyBorder="1" applyAlignment="1" applyProtection="1">
      <alignment horizontal="center" vertical="center" wrapText="1"/>
    </xf>
    <xf numFmtId="0" fontId="12" fillId="16" borderId="191" xfId="0" applyFont="1" applyFill="1" applyBorder="1" applyAlignment="1" applyProtection="1">
      <alignment horizontal="center" vertical="center" wrapText="1"/>
    </xf>
    <xf numFmtId="0" fontId="12" fillId="16" borderId="40" xfId="0" applyFont="1" applyFill="1" applyBorder="1" applyAlignment="1" applyProtection="1">
      <alignment horizontal="center" vertical="center"/>
    </xf>
    <xf numFmtId="0" fontId="12" fillId="16" borderId="186" xfId="0" applyFont="1" applyFill="1" applyBorder="1" applyAlignment="1" applyProtection="1">
      <alignment horizontal="center" vertical="center"/>
    </xf>
    <xf numFmtId="0" fontId="12" fillId="16" borderId="40" xfId="0" applyFont="1" applyFill="1" applyBorder="1" applyAlignment="1" applyProtection="1">
      <alignment horizontal="center" vertical="center" wrapText="1"/>
    </xf>
    <xf numFmtId="0" fontId="12" fillId="16" borderId="186" xfId="0" applyFont="1" applyFill="1" applyBorder="1" applyAlignment="1" applyProtection="1">
      <alignment horizontal="center" vertical="center" wrapText="1"/>
    </xf>
    <xf numFmtId="0" fontId="21" fillId="16" borderId="41" xfId="0" applyFont="1" applyFill="1" applyBorder="1" applyAlignment="1" applyProtection="1">
      <alignment horizontal="center" vertical="center" wrapText="1"/>
    </xf>
    <xf numFmtId="0" fontId="21" fillId="16" borderId="47" xfId="0" applyFont="1" applyFill="1" applyBorder="1" applyAlignment="1" applyProtection="1">
      <alignment horizontal="center" vertical="center" wrapText="1"/>
    </xf>
    <xf numFmtId="0" fontId="21" fillId="16" borderId="48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2" fillId="43" borderId="225" xfId="0" applyFont="1" applyFill="1" applyBorder="1" applyAlignment="1" applyProtection="1">
      <alignment horizontal="left" vertical="center" wrapText="1"/>
    </xf>
    <xf numFmtId="0" fontId="22" fillId="43" borderId="154" xfId="0" applyFont="1" applyFill="1" applyBorder="1" applyAlignment="1" applyProtection="1">
      <alignment horizontal="left" vertical="center" wrapText="1"/>
    </xf>
    <xf numFmtId="0" fontId="22" fillId="43" borderId="226" xfId="0" applyFont="1" applyFill="1" applyBorder="1" applyAlignment="1" applyProtection="1">
      <alignment horizontal="left" vertical="center" wrapText="1"/>
    </xf>
    <xf numFmtId="0" fontId="22" fillId="0" borderId="225" xfId="0" applyFont="1" applyFill="1" applyBorder="1" applyAlignment="1" applyProtection="1">
      <alignment horizontal="left" vertical="center" wrapText="1"/>
    </xf>
    <xf numFmtId="0" fontId="22" fillId="0" borderId="154" xfId="0" applyFont="1" applyFill="1" applyBorder="1" applyAlignment="1" applyProtection="1">
      <alignment horizontal="left" vertical="center" wrapText="1"/>
    </xf>
    <xf numFmtId="0" fontId="22" fillId="0" borderId="226" xfId="0" applyFont="1" applyFill="1" applyBorder="1" applyAlignment="1" applyProtection="1">
      <alignment horizontal="left" vertical="center" wrapText="1"/>
    </xf>
    <xf numFmtId="0" fontId="22" fillId="16" borderId="24" xfId="0" applyFont="1" applyFill="1" applyBorder="1" applyAlignment="1" applyProtection="1">
      <alignment horizontal="center" vertical="center"/>
    </xf>
    <xf numFmtId="0" fontId="22" fillId="16" borderId="25" xfId="0" applyFont="1" applyFill="1" applyBorder="1" applyAlignment="1" applyProtection="1">
      <alignment horizontal="center" vertical="center"/>
    </xf>
    <xf numFmtId="0" fontId="22" fillId="12" borderId="10" xfId="0" applyFont="1" applyFill="1" applyBorder="1" applyAlignment="1" applyProtection="1">
      <alignment horizontal="center" vertical="center"/>
      <protection locked="0"/>
    </xf>
    <xf numFmtId="0" fontId="22" fillId="12" borderId="11" xfId="0" applyFont="1" applyFill="1" applyBorder="1" applyAlignment="1" applyProtection="1">
      <alignment horizontal="center" vertical="center"/>
      <protection locked="0"/>
    </xf>
    <xf numFmtId="167" fontId="22" fillId="17" borderId="34" xfId="0" applyNumberFormat="1" applyFont="1" applyFill="1" applyBorder="1" applyAlignment="1" applyProtection="1">
      <alignment horizontal="center" vertical="center" wrapText="1"/>
    </xf>
    <xf numFmtId="167" fontId="22" fillId="17" borderId="22" xfId="0" applyNumberFormat="1" applyFont="1" applyFill="1" applyBorder="1" applyAlignment="1" applyProtection="1">
      <alignment horizontal="center" vertical="center" wrapText="1"/>
    </xf>
    <xf numFmtId="167" fontId="22" fillId="17" borderId="35" xfId="0" applyNumberFormat="1" applyFont="1" applyFill="1" applyBorder="1" applyAlignment="1" applyProtection="1">
      <alignment horizontal="center" vertical="center" wrapText="1"/>
    </xf>
    <xf numFmtId="167" fontId="23" fillId="33" borderId="34" xfId="0" applyNumberFormat="1" applyFont="1" applyFill="1" applyBorder="1" applyAlignment="1" applyProtection="1">
      <alignment horizontal="center" vertical="center" wrapText="1"/>
    </xf>
    <xf numFmtId="167" fontId="23" fillId="33" borderId="35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 indent="2"/>
    </xf>
    <xf numFmtId="0" fontId="12" fillId="15" borderId="112" xfId="0" applyFont="1" applyFill="1" applyBorder="1" applyAlignment="1" applyProtection="1">
      <alignment horizontal="center" vertical="center" wrapText="1"/>
    </xf>
    <xf numFmtId="0" fontId="12" fillId="15" borderId="114" xfId="0" applyFont="1" applyFill="1" applyBorder="1" applyAlignment="1" applyProtection="1">
      <alignment horizontal="center" vertical="center" wrapText="1"/>
    </xf>
    <xf numFmtId="0" fontId="12" fillId="15" borderId="119" xfId="0" applyFont="1" applyFill="1" applyBorder="1" applyAlignment="1" applyProtection="1">
      <alignment horizontal="center" vertical="center" wrapText="1"/>
    </xf>
    <xf numFmtId="0" fontId="12" fillId="15" borderId="45" xfId="0" applyFont="1" applyFill="1" applyBorder="1" applyAlignment="1" applyProtection="1">
      <alignment horizontal="center" vertical="center" wrapText="1"/>
    </xf>
    <xf numFmtId="0" fontId="22" fillId="66" borderId="264" xfId="0" applyFont="1" applyFill="1" applyBorder="1" applyAlignment="1" applyProtection="1">
      <alignment horizontal="center" vertical="center" wrapText="1"/>
    </xf>
    <xf numFmtId="0" fontId="22" fillId="66" borderId="150" xfId="0" applyFont="1" applyFill="1" applyBorder="1" applyAlignment="1" applyProtection="1">
      <alignment horizontal="center" vertical="center" wrapText="1"/>
    </xf>
    <xf numFmtId="0" fontId="22" fillId="66" borderId="64" xfId="0" applyFont="1" applyFill="1" applyBorder="1" applyAlignment="1" applyProtection="1">
      <alignment horizontal="center" vertical="center" wrapText="1"/>
    </xf>
    <xf numFmtId="176" fontId="22" fillId="56" borderId="264" xfId="0" applyNumberFormat="1" applyFont="1" applyFill="1" applyBorder="1" applyAlignment="1" applyProtection="1">
      <alignment horizontal="right" vertical="center"/>
    </xf>
    <xf numFmtId="176" fontId="22" fillId="56" borderId="150" xfId="0" applyNumberFormat="1" applyFont="1" applyFill="1" applyBorder="1" applyAlignment="1" applyProtection="1">
      <alignment horizontal="right" vertical="center"/>
    </xf>
    <xf numFmtId="176" fontId="22" fillId="56" borderId="64" xfId="0" applyNumberFormat="1" applyFont="1" applyFill="1" applyBorder="1" applyAlignment="1" applyProtection="1">
      <alignment horizontal="right" vertical="center"/>
    </xf>
    <xf numFmtId="0" fontId="22" fillId="43" borderId="264" xfId="0" applyFont="1" applyFill="1" applyBorder="1" applyAlignment="1" applyProtection="1">
      <alignment horizontal="center" vertical="center" wrapText="1"/>
    </xf>
    <xf numFmtId="176" fontId="22" fillId="29" borderId="224" xfId="0" applyNumberFormat="1" applyFont="1" applyFill="1" applyBorder="1" applyAlignment="1" applyProtection="1">
      <alignment horizontal="right" vertical="center"/>
    </xf>
    <xf numFmtId="176" fontId="22" fillId="29" borderId="150" xfId="0" applyNumberFormat="1" applyFont="1" applyFill="1" applyBorder="1" applyAlignment="1" applyProtection="1">
      <alignment horizontal="right" vertical="center"/>
    </xf>
    <xf numFmtId="176" fontId="22" fillId="29" borderId="64" xfId="0" applyNumberFormat="1" applyFont="1" applyFill="1" applyBorder="1" applyAlignment="1" applyProtection="1">
      <alignment horizontal="right" vertical="center"/>
    </xf>
    <xf numFmtId="0" fontId="21" fillId="16" borderId="265" xfId="0" applyFont="1" applyFill="1" applyBorder="1" applyAlignment="1" applyProtection="1">
      <alignment horizontal="center" vertical="center"/>
    </xf>
    <xf numFmtId="0" fontId="21" fillId="16" borderId="157" xfId="0" applyFont="1" applyFill="1" applyBorder="1" applyAlignment="1" applyProtection="1">
      <alignment horizontal="center" vertical="center"/>
    </xf>
    <xf numFmtId="0" fontId="21" fillId="16" borderId="175" xfId="0" applyFont="1" applyFill="1" applyBorder="1" applyAlignment="1" applyProtection="1">
      <alignment horizontal="center" vertical="center"/>
    </xf>
    <xf numFmtId="0" fontId="12" fillId="27" borderId="47" xfId="0" applyFont="1" applyFill="1" applyBorder="1" applyAlignment="1" applyProtection="1">
      <alignment horizontal="center" vertical="center" wrapText="1"/>
    </xf>
    <xf numFmtId="0" fontId="12" fillId="27" borderId="0" xfId="0" applyFont="1" applyFill="1" applyBorder="1" applyAlignment="1" applyProtection="1">
      <alignment horizontal="center" vertical="center" wrapText="1"/>
    </xf>
    <xf numFmtId="0" fontId="12" fillId="27" borderId="156" xfId="0" applyFont="1" applyFill="1" applyBorder="1" applyAlignment="1" applyProtection="1">
      <alignment horizontal="center" vertical="center" wrapText="1"/>
    </xf>
    <xf numFmtId="0" fontId="12" fillId="27" borderId="108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22" fillId="11" borderId="264" xfId="0" applyFont="1" applyFill="1" applyBorder="1" applyAlignment="1" applyProtection="1">
      <alignment horizontal="center" vertical="center" wrapText="1"/>
    </xf>
    <xf numFmtId="0" fontId="22" fillId="11" borderId="150" xfId="0" applyFont="1" applyFill="1" applyBorder="1" applyAlignment="1" applyProtection="1">
      <alignment horizontal="center" vertical="center" wrapText="1"/>
    </xf>
    <xf numFmtId="176" fontId="22" fillId="29" borderId="156" xfId="0" applyNumberFormat="1" applyFont="1" applyFill="1" applyBorder="1" applyAlignment="1" applyProtection="1">
      <alignment horizontal="right" vertical="center"/>
    </xf>
    <xf numFmtId="176" fontId="22" fillId="29" borderId="108" xfId="0" applyNumberFormat="1" applyFont="1" applyFill="1" applyBorder="1" applyAlignment="1" applyProtection="1">
      <alignment horizontal="right" vertical="center"/>
    </xf>
    <xf numFmtId="0" fontId="12" fillId="16" borderId="263" xfId="0" applyFont="1" applyFill="1" applyBorder="1" applyAlignment="1" applyProtection="1">
      <alignment horizontal="center" vertical="center" wrapText="1"/>
    </xf>
    <xf numFmtId="0" fontId="12" fillId="16" borderId="246" xfId="0" applyFont="1" applyFill="1" applyBorder="1" applyAlignment="1" applyProtection="1">
      <alignment horizontal="center" vertical="center" wrapText="1"/>
    </xf>
    <xf numFmtId="0" fontId="12" fillId="16" borderId="271" xfId="0" applyFont="1" applyFill="1" applyBorder="1" applyAlignment="1" applyProtection="1">
      <alignment horizontal="center" vertical="center" wrapText="1"/>
    </xf>
    <xf numFmtId="0" fontId="12" fillId="16" borderId="223" xfId="0" applyFont="1" applyFill="1" applyBorder="1" applyAlignment="1" applyProtection="1">
      <alignment horizontal="center" vertical="center" wrapText="1"/>
    </xf>
    <xf numFmtId="0" fontId="12" fillId="16" borderId="239" xfId="0" applyFont="1" applyFill="1" applyBorder="1" applyAlignment="1" applyProtection="1">
      <alignment horizontal="center" vertical="center"/>
    </xf>
    <xf numFmtId="0" fontId="12" fillId="16" borderId="239" xfId="0" applyFont="1" applyFill="1" applyBorder="1" applyAlignment="1" applyProtection="1">
      <alignment horizontal="center" vertical="center" wrapText="1"/>
    </xf>
    <xf numFmtId="0" fontId="21" fillId="0" borderId="234" xfId="0" applyFont="1" applyFill="1" applyBorder="1" applyAlignment="1" applyProtection="1">
      <alignment horizontal="center" vertical="center" wrapText="1"/>
    </xf>
    <xf numFmtId="0" fontId="21" fillId="0" borderId="235" xfId="0" applyFont="1" applyFill="1" applyBorder="1" applyAlignment="1" applyProtection="1">
      <alignment horizontal="center" vertical="center" wrapText="1"/>
    </xf>
    <xf numFmtId="0" fontId="21" fillId="0" borderId="236" xfId="0" applyFont="1" applyFill="1" applyBorder="1" applyAlignment="1" applyProtection="1">
      <alignment horizontal="center" vertical="center" wrapText="1"/>
    </xf>
    <xf numFmtId="0" fontId="12" fillId="16" borderId="135" xfId="0" applyFont="1" applyFill="1" applyBorder="1" applyAlignment="1" applyProtection="1">
      <alignment horizontal="center" vertical="center" wrapText="1"/>
    </xf>
    <xf numFmtId="0" fontId="12" fillId="16" borderId="136" xfId="0" applyFont="1" applyFill="1" applyBorder="1" applyAlignment="1" applyProtection="1">
      <alignment horizontal="center" vertical="center" wrapText="1"/>
    </xf>
    <xf numFmtId="0" fontId="22" fillId="12" borderId="8" xfId="0" applyFont="1" applyFill="1" applyBorder="1" applyAlignment="1" applyProtection="1">
      <alignment horizontal="center" vertical="center"/>
      <protection locked="0"/>
    </xf>
    <xf numFmtId="0" fontId="22" fillId="12" borderId="9" xfId="0" applyFont="1" applyFill="1" applyBorder="1" applyAlignment="1" applyProtection="1">
      <alignment horizontal="center" vertical="center"/>
      <protection locked="0"/>
    </xf>
    <xf numFmtId="0" fontId="12" fillId="16" borderId="179" xfId="0" applyFont="1" applyFill="1" applyBorder="1" applyAlignment="1" applyProtection="1">
      <alignment horizontal="center" vertical="center"/>
    </xf>
    <xf numFmtId="0" fontId="12" fillId="16" borderId="134" xfId="0" applyFont="1" applyFill="1" applyBorder="1" applyAlignment="1" applyProtection="1">
      <alignment horizontal="center" vertical="center"/>
    </xf>
    <xf numFmtId="0" fontId="22" fillId="15" borderId="127" xfId="0" applyFont="1" applyFill="1" applyBorder="1" applyAlignment="1" applyProtection="1">
      <alignment horizontal="center" vertical="center" wrapText="1"/>
    </xf>
    <xf numFmtId="0" fontId="22" fillId="15" borderId="228" xfId="0" applyFont="1" applyFill="1" applyBorder="1" applyAlignment="1" applyProtection="1">
      <alignment horizontal="center" vertical="center" wrapText="1"/>
    </xf>
    <xf numFmtId="0" fontId="22" fillId="15" borderId="131" xfId="0" applyFont="1" applyFill="1" applyBorder="1" applyAlignment="1" applyProtection="1">
      <alignment horizontal="center" vertical="center" wrapText="1"/>
    </xf>
    <xf numFmtId="0" fontId="22" fillId="15" borderId="237" xfId="0" applyFont="1" applyFill="1" applyBorder="1" applyAlignment="1" applyProtection="1">
      <alignment horizontal="center" vertical="center" wrapText="1"/>
    </xf>
    <xf numFmtId="0" fontId="12" fillId="16" borderId="181" xfId="0" applyFont="1" applyFill="1" applyBorder="1" applyAlignment="1" applyProtection="1">
      <alignment horizontal="center" vertical="center"/>
    </xf>
    <xf numFmtId="0" fontId="12" fillId="16" borderId="130" xfId="0" applyFont="1" applyFill="1" applyBorder="1" applyAlignment="1" applyProtection="1">
      <alignment horizontal="center" vertical="center"/>
    </xf>
    <xf numFmtId="167" fontId="12" fillId="17" borderId="133" xfId="0" applyNumberFormat="1" applyFont="1" applyFill="1" applyBorder="1" applyAlignment="1" applyProtection="1">
      <alignment horizontal="center" vertical="center" wrapText="1"/>
    </xf>
    <xf numFmtId="167" fontId="12" fillId="17" borderId="129" xfId="0" applyNumberFormat="1" applyFont="1" applyFill="1" applyBorder="1" applyAlignment="1" applyProtection="1">
      <alignment horizontal="center" vertical="center" wrapText="1"/>
    </xf>
    <xf numFmtId="167" fontId="12" fillId="17" borderId="128" xfId="0" applyNumberFormat="1" applyFont="1" applyFill="1" applyBorder="1" applyAlignment="1" applyProtection="1">
      <alignment horizontal="center" vertical="center" wrapText="1"/>
    </xf>
    <xf numFmtId="0" fontId="0" fillId="37" borderId="27" xfId="0" applyFont="1" applyFill="1" applyBorder="1" applyAlignment="1" applyProtection="1">
      <alignment horizontal="left" vertical="center" wrapText="1"/>
    </xf>
    <xf numFmtId="0" fontId="0" fillId="37" borderId="16" xfId="0" applyFont="1" applyFill="1" applyBorder="1" applyAlignment="1" applyProtection="1">
      <alignment horizontal="left" vertical="center" wrapText="1"/>
    </xf>
    <xf numFmtId="0" fontId="0" fillId="37" borderId="37" xfId="0" applyFont="1" applyFill="1" applyBorder="1" applyAlignment="1" applyProtection="1">
      <alignment horizontal="left" vertical="center" wrapText="1"/>
    </xf>
    <xf numFmtId="0" fontId="0" fillId="37" borderId="28" xfId="0" applyFont="1" applyFill="1" applyBorder="1" applyAlignment="1" applyProtection="1">
      <alignment horizontal="left" vertical="center" wrapText="1"/>
    </xf>
    <xf numFmtId="0" fontId="0" fillId="37" borderId="0" xfId="0" applyFont="1" applyFill="1" applyBorder="1" applyAlignment="1" applyProtection="1">
      <alignment horizontal="left" vertical="center" wrapText="1"/>
    </xf>
    <xf numFmtId="0" fontId="0" fillId="37" borderId="38" xfId="0" applyFont="1" applyFill="1" applyBorder="1" applyAlignment="1" applyProtection="1">
      <alignment horizontal="left" vertical="center" wrapText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37" borderId="13" xfId="0" applyFont="1" applyFill="1" applyBorder="1" applyAlignment="1" applyProtection="1">
      <alignment horizontal="left" vertical="center" wrapText="1"/>
    </xf>
    <xf numFmtId="0" fontId="0" fillId="37" borderId="14" xfId="0" applyFont="1" applyFill="1" applyBorder="1" applyAlignment="1" applyProtection="1">
      <alignment horizontal="left" vertical="center" wrapText="1"/>
    </xf>
    <xf numFmtId="0" fontId="0" fillId="43" borderId="247" xfId="0" applyFill="1" applyBorder="1" applyAlignment="1" applyProtection="1">
      <alignment horizontal="left" vertical="center"/>
      <protection locked="0"/>
    </xf>
    <xf numFmtId="0" fontId="0" fillId="43" borderId="284" xfId="0" applyFill="1" applyBorder="1" applyAlignment="1" applyProtection="1">
      <alignment horizontal="left" vertical="center"/>
      <protection locked="0"/>
    </xf>
    <xf numFmtId="0" fontId="0" fillId="43" borderId="257" xfId="0" applyFill="1" applyBorder="1" applyAlignment="1" applyProtection="1">
      <alignment horizontal="left" vertical="center"/>
      <protection locked="0"/>
    </xf>
    <xf numFmtId="0" fontId="0" fillId="0" borderId="247" xfId="0" applyBorder="1" applyAlignment="1" applyProtection="1">
      <alignment horizontal="left" vertical="center"/>
      <protection locked="0"/>
    </xf>
    <xf numFmtId="0" fontId="0" fillId="0" borderId="284" xfId="0" applyBorder="1" applyAlignment="1" applyProtection="1">
      <alignment horizontal="left" vertical="center"/>
      <protection locked="0"/>
    </xf>
    <xf numFmtId="0" fontId="0" fillId="0" borderId="257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74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left" vertical="center" wrapText="1"/>
      <protection locked="0"/>
    </xf>
    <xf numFmtId="167" fontId="10" fillId="43" borderId="247" xfId="13" applyNumberFormat="1" applyFont="1" applyFill="1" applyBorder="1" applyAlignment="1" applyProtection="1">
      <alignment horizontal="center" vertical="center"/>
    </xf>
    <xf numFmtId="167" fontId="10" fillId="43" borderId="284" xfId="13" applyNumberFormat="1" applyFont="1" applyFill="1" applyBorder="1" applyAlignment="1" applyProtection="1">
      <alignment horizontal="center" vertical="center"/>
    </xf>
    <xf numFmtId="167" fontId="10" fillId="43" borderId="257" xfId="13" applyNumberFormat="1" applyFont="1" applyFill="1" applyBorder="1" applyAlignment="1" applyProtection="1">
      <alignment horizontal="center" vertical="center"/>
    </xf>
    <xf numFmtId="0" fontId="0" fillId="12" borderId="247" xfId="0" applyFill="1" applyBorder="1" applyAlignment="1" applyProtection="1">
      <alignment horizontal="left" vertical="center"/>
      <protection locked="0"/>
    </xf>
    <xf numFmtId="0" fontId="0" fillId="12" borderId="284" xfId="0" applyFill="1" applyBorder="1" applyAlignment="1" applyProtection="1">
      <alignment horizontal="left" vertical="center"/>
      <protection locked="0"/>
    </xf>
    <xf numFmtId="0" fontId="0" fillId="12" borderId="257" xfId="0" applyFill="1" applyBorder="1" applyAlignment="1" applyProtection="1">
      <alignment horizontal="left" vertical="center"/>
      <protection locked="0"/>
    </xf>
    <xf numFmtId="0" fontId="0" fillId="0" borderId="247" xfId="0" applyBorder="1" applyAlignment="1" applyProtection="1">
      <alignment horizontal="left" vertical="center" wrapText="1"/>
      <protection locked="0"/>
    </xf>
    <xf numFmtId="0" fontId="0" fillId="0" borderId="284" xfId="0" applyBorder="1" applyAlignment="1" applyProtection="1">
      <alignment horizontal="left" vertical="center" wrapText="1"/>
      <protection locked="0"/>
    </xf>
    <xf numFmtId="0" fontId="0" fillId="0" borderId="257" xfId="0" applyBorder="1" applyAlignment="1" applyProtection="1">
      <alignment horizontal="left" vertical="center" wrapText="1"/>
      <protection locked="0"/>
    </xf>
    <xf numFmtId="0" fontId="10" fillId="15" borderId="281" xfId="0" applyFont="1" applyFill="1" applyBorder="1" applyAlignment="1" applyProtection="1">
      <alignment horizontal="center" vertical="center" wrapText="1"/>
    </xf>
    <xf numFmtId="0" fontId="10" fillId="15" borderId="184" xfId="0" applyFont="1" applyFill="1" applyBorder="1" applyAlignment="1" applyProtection="1">
      <alignment horizontal="center" vertical="center" wrapText="1"/>
    </xf>
    <xf numFmtId="0" fontId="10" fillId="16" borderId="249" xfId="0" applyFont="1" applyFill="1" applyBorder="1" applyAlignment="1" applyProtection="1">
      <alignment horizontal="center" vertical="center" wrapText="1"/>
    </xf>
    <xf numFmtId="0" fontId="10" fillId="17" borderId="249" xfId="0" applyFont="1" applyFill="1" applyBorder="1" applyAlignment="1" applyProtection="1">
      <alignment horizontal="center" vertical="center"/>
    </xf>
    <xf numFmtId="165" fontId="12" fillId="18" borderId="282" xfId="13" applyFont="1" applyFill="1" applyBorder="1" applyAlignment="1" applyProtection="1">
      <alignment horizontal="center" vertical="center" wrapText="1"/>
    </xf>
    <xf numFmtId="167" fontId="28" fillId="43" borderId="247" xfId="13" applyNumberFormat="1" applyFont="1" applyFill="1" applyBorder="1" applyAlignment="1" applyProtection="1">
      <alignment horizontal="left" vertical="center"/>
    </xf>
    <xf numFmtId="167" fontId="28" fillId="43" borderId="284" xfId="13" applyNumberFormat="1" applyFont="1" applyFill="1" applyBorder="1" applyAlignment="1" applyProtection="1">
      <alignment horizontal="left" vertical="center"/>
    </xf>
    <xf numFmtId="167" fontId="28" fillId="43" borderId="257" xfId="13" applyNumberFormat="1" applyFont="1" applyFill="1" applyBorder="1" applyAlignment="1" applyProtection="1">
      <alignment horizontal="left" vertical="center"/>
    </xf>
    <xf numFmtId="0" fontId="28" fillId="43" borderId="220" xfId="0" applyFont="1" applyFill="1" applyBorder="1" applyAlignment="1" applyProtection="1">
      <alignment horizontal="left" vertical="center" wrapText="1"/>
      <protection locked="0"/>
    </xf>
    <xf numFmtId="0" fontId="28" fillId="43" borderId="16" xfId="0" applyFont="1" applyFill="1" applyBorder="1" applyAlignment="1" applyProtection="1">
      <alignment horizontal="left" vertical="center" wrapText="1"/>
      <protection locked="0"/>
    </xf>
    <xf numFmtId="0" fontId="28" fillId="43" borderId="289" xfId="0" applyFont="1" applyFill="1" applyBorder="1" applyAlignment="1" applyProtection="1">
      <alignment horizontal="left" vertical="center" wrapText="1"/>
      <protection locked="0"/>
    </xf>
    <xf numFmtId="0" fontId="0" fillId="43" borderId="247" xfId="0" applyFont="1" applyFill="1" applyBorder="1" applyAlignment="1" applyProtection="1">
      <alignment horizontal="left" vertical="center" wrapText="1"/>
      <protection locked="0"/>
    </xf>
    <xf numFmtId="0" fontId="0" fillId="43" borderId="284" xfId="0" applyFont="1" applyFill="1" applyBorder="1" applyAlignment="1" applyProtection="1">
      <alignment horizontal="left" vertical="center" wrapText="1"/>
      <protection locked="0"/>
    </xf>
    <xf numFmtId="0" fontId="0" fillId="43" borderId="257" xfId="0" applyFont="1" applyFill="1" applyBorder="1" applyAlignment="1" applyProtection="1">
      <alignment horizontal="left" vertical="center" wrapText="1"/>
      <protection locked="0"/>
    </xf>
    <xf numFmtId="0" fontId="0" fillId="0" borderId="247" xfId="0" applyBorder="1" applyAlignment="1" applyProtection="1">
      <alignment horizontal="center" vertical="center"/>
      <protection locked="0"/>
    </xf>
    <xf numFmtId="0" fontId="0" fillId="0" borderId="284" xfId="0" applyBorder="1" applyAlignment="1" applyProtection="1">
      <alignment horizontal="center" vertical="center"/>
      <protection locked="0"/>
    </xf>
    <xf numFmtId="0" fontId="0" fillId="0" borderId="257" xfId="0" applyBorder="1" applyAlignment="1" applyProtection="1">
      <alignment horizontal="center" vertical="center"/>
      <protection locked="0"/>
    </xf>
    <xf numFmtId="0" fontId="0" fillId="0" borderId="286" xfId="0" applyBorder="1" applyAlignment="1" applyProtection="1">
      <alignment horizontal="left" vertical="center"/>
      <protection locked="0"/>
    </xf>
    <xf numFmtId="0" fontId="0" fillId="0" borderId="286" xfId="0" applyFont="1" applyBorder="1" applyAlignment="1" applyProtection="1">
      <alignment horizontal="left" vertical="center"/>
      <protection locked="0"/>
    </xf>
    <xf numFmtId="0" fontId="0" fillId="0" borderId="284" xfId="0" applyFont="1" applyBorder="1" applyAlignment="1" applyProtection="1">
      <alignment horizontal="left" vertical="center"/>
      <protection locked="0"/>
    </xf>
    <xf numFmtId="0" fontId="0" fillId="0" borderId="257" xfId="0" applyFont="1" applyBorder="1" applyAlignment="1" applyProtection="1">
      <alignment horizontal="left" vertical="center"/>
      <protection locked="0"/>
    </xf>
    <xf numFmtId="167" fontId="28" fillId="43" borderId="247" xfId="13" applyNumberFormat="1" applyFont="1" applyFill="1" applyBorder="1" applyAlignment="1" applyProtection="1">
      <alignment vertical="center"/>
    </xf>
    <xf numFmtId="167" fontId="28" fillId="43" borderId="284" xfId="13" applyNumberFormat="1" applyFont="1" applyFill="1" applyBorder="1" applyAlignment="1" applyProtection="1">
      <alignment vertical="center"/>
    </xf>
    <xf numFmtId="167" fontId="28" fillId="43" borderId="257" xfId="13" applyNumberFormat="1" applyFont="1" applyFill="1" applyBorder="1" applyAlignment="1" applyProtection="1">
      <alignment vertical="center"/>
    </xf>
    <xf numFmtId="0" fontId="28" fillId="43" borderId="257" xfId="0" applyFont="1" applyFill="1" applyBorder="1" applyAlignment="1" applyProtection="1">
      <alignment horizontal="left" vertical="center" wrapText="1"/>
      <protection locked="0"/>
    </xf>
    <xf numFmtId="0" fontId="28" fillId="43" borderId="249" xfId="0" applyFont="1" applyFill="1" applyBorder="1" applyAlignment="1" applyProtection="1">
      <alignment horizontal="left" vertical="center" wrapText="1"/>
      <protection locked="0"/>
    </xf>
    <xf numFmtId="0" fontId="28" fillId="43" borderId="247" xfId="0" applyFont="1" applyFill="1" applyBorder="1" applyAlignment="1" applyProtection="1">
      <alignment horizontal="left" vertical="center" wrapText="1"/>
      <protection locked="0"/>
    </xf>
    <xf numFmtId="0" fontId="28" fillId="43" borderId="284" xfId="0" applyFont="1" applyFill="1" applyBorder="1" applyAlignment="1" applyProtection="1">
      <alignment horizontal="left" vertical="center" wrapText="1"/>
      <protection locked="0"/>
    </xf>
  </cellXfs>
  <cellStyles count="3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2" xfId="24" xr:uid="{00000000-0005-0000-0000-000010000000}"/>
    <cellStyle name="Moneda" xfId="13" builtinId="4"/>
    <cellStyle name="Moneda [0]" xfId="31" builtinId="7"/>
    <cellStyle name="Moneda 2" xfId="26" xr:uid="{00000000-0005-0000-0000-000013000000}"/>
    <cellStyle name="Moneda 3" xfId="25" xr:uid="{00000000-0005-0000-0000-000014000000}"/>
    <cellStyle name="Neutral" xfId="14" builtinId="28" customBuiltin="1"/>
    <cellStyle name="Normal" xfId="0" builtinId="0"/>
    <cellStyle name="Normal 2" xfId="27" xr:uid="{00000000-0005-0000-0000-000017000000}"/>
    <cellStyle name="Normal 3" xfId="28" xr:uid="{00000000-0005-0000-0000-000018000000}"/>
    <cellStyle name="Normal 4" xfId="29" xr:uid="{00000000-0005-0000-0000-000019000000}"/>
    <cellStyle name="Note" xfId="15" xr:uid="{00000000-0005-0000-0000-00001A000000}"/>
    <cellStyle name="Note 2" xfId="33" xr:uid="{00000000-0005-0000-0000-00001B000000}"/>
    <cellStyle name="Note 3" xfId="34" xr:uid="{00000000-0005-0000-0000-00001C000000}"/>
    <cellStyle name="Note 4" xfId="32" xr:uid="{00000000-0005-0000-0000-00001D000000}"/>
    <cellStyle name="Note 5" xfId="36" xr:uid="{00000000-0005-0000-0000-00001E000000}"/>
    <cellStyle name="Note 6" xfId="35" xr:uid="{00000000-0005-0000-0000-00001F000000}"/>
    <cellStyle name="Porcentaje" xfId="16" builtinId="5"/>
    <cellStyle name="Porcentaje 2" xfId="30" xr:uid="{00000000-0005-0000-0000-000020000000}"/>
    <cellStyle name="Status" xfId="17" xr:uid="{00000000-0005-0000-0000-000022000000}"/>
    <cellStyle name="Text" xfId="18" xr:uid="{00000000-0005-0000-0000-000023000000}"/>
    <cellStyle name="Warning" xfId="19" xr:uid="{00000000-0005-0000-0000-000024000000}"/>
  </cellStyles>
  <dxfs count="4">
    <dxf>
      <font>
        <color rgb="FF9C0006"/>
      </font>
    </dxf>
    <dxf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FF0909"/>
      <color rgb="FF000099"/>
      <color rgb="FF69D8FF"/>
      <color rgb="FFFFFF66"/>
      <color rgb="FF00A249"/>
      <color rgb="FFCCFFCC"/>
      <color rgb="FFCC0000"/>
      <color rgb="FF33CC3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296337</xdr:colOff>
      <xdr:row>58</xdr:row>
      <xdr:rowOff>74083</xdr:rowOff>
    </xdr:from>
    <xdr:to>
      <xdr:col>16</xdr:col>
      <xdr:colOff>526671</xdr:colOff>
      <xdr:row>112</xdr:row>
      <xdr:rowOff>46701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3DC26E5-BD47-433D-BABE-403A5827A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6337" y="9281583"/>
          <a:ext cx="12422334" cy="8545118"/>
        </a:xfrm>
        <a:prstGeom prst="rect">
          <a:avLst/>
        </a:prstGeom>
      </xdr:spPr>
    </xdr:pic>
    <xdr:clientData/>
  </xdr:twoCellAnchor>
  <xdr:twoCellAnchor editAs="oneCell">
    <xdr:from>
      <xdr:col>0</xdr:col>
      <xdr:colOff>328087</xdr:colOff>
      <xdr:row>113</xdr:row>
      <xdr:rowOff>63499</xdr:rowOff>
    </xdr:from>
    <xdr:to>
      <xdr:col>8</xdr:col>
      <xdr:colOff>433727</xdr:colOff>
      <xdr:row>163</xdr:row>
      <xdr:rowOff>23326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658F530-D1EC-4DA0-A35A-66C19C65F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8087" y="18002249"/>
          <a:ext cx="6201640" cy="7897327"/>
        </a:xfrm>
        <a:prstGeom prst="rect">
          <a:avLst/>
        </a:prstGeom>
      </xdr:spPr>
    </xdr:pic>
    <xdr:clientData/>
  </xdr:twoCellAnchor>
  <xdr:twoCellAnchor editAs="oneCell">
    <xdr:from>
      <xdr:col>0</xdr:col>
      <xdr:colOff>306921</xdr:colOff>
      <xdr:row>8</xdr:row>
      <xdr:rowOff>0</xdr:rowOff>
    </xdr:from>
    <xdr:to>
      <xdr:col>16</xdr:col>
      <xdr:colOff>539755</xdr:colOff>
      <xdr:row>56</xdr:row>
      <xdr:rowOff>136108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CD44AD0-EF60-40C9-B816-619BD8421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6921" y="1270000"/>
          <a:ext cx="12424834" cy="7756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Enrique%20Porras%20A\Desktop\mama\Planilla_tarifas_a__educacional_2021__bienique_gestio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Índice Tablas"/>
      <sheetName val="A) Resumen Ingresos y Egresos"/>
      <sheetName val="B) Reajuste Tarifas y Ocupación"/>
      <sheetName val="C) Costos Directos"/>
      <sheetName val="D) Costos Indirectos"/>
      <sheetName val="E) Resumen Tarifado "/>
      <sheetName val="F) Remuneraciones"/>
      <sheetName val="G) Comparación Mercado"/>
      <sheetName val="H) Detall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52"/>
  <sheetViews>
    <sheetView showGridLines="0" zoomScale="90" zoomScaleNormal="90" workbookViewId="0">
      <selection activeCell="J6" sqref="J6"/>
    </sheetView>
  </sheetViews>
  <sheetFormatPr baseColWidth="10" defaultColWidth="11.42578125" defaultRowHeight="12.75" x14ac:dyDescent="0.2"/>
  <cols>
    <col min="1" max="16384" width="11.42578125" style="65"/>
  </cols>
  <sheetData>
    <row r="1" spans="3:10" x14ac:dyDescent="0.2">
      <c r="J1" s="64"/>
    </row>
    <row r="2" spans="3:10" x14ac:dyDescent="0.2">
      <c r="J2" s="64" t="s">
        <v>83</v>
      </c>
    </row>
    <row r="3" spans="3:10" x14ac:dyDescent="0.2">
      <c r="J3" s="64"/>
    </row>
    <row r="5" spans="3:10" x14ac:dyDescent="0.2">
      <c r="C5" s="66"/>
      <c r="D5" s="66"/>
      <c r="E5" s="66"/>
      <c r="F5" s="66"/>
      <c r="G5" s="66"/>
      <c r="H5" s="66"/>
      <c r="I5" s="66"/>
      <c r="J5" s="66"/>
    </row>
    <row r="6" spans="3:10" x14ac:dyDescent="0.2">
      <c r="C6" s="66"/>
      <c r="D6" s="66"/>
      <c r="E6" s="66"/>
      <c r="F6" s="66"/>
      <c r="G6" s="66"/>
      <c r="H6" s="66"/>
      <c r="I6" s="66"/>
      <c r="J6" s="66"/>
    </row>
    <row r="7" spans="3:10" x14ac:dyDescent="0.2">
      <c r="C7" s="66"/>
      <c r="D7" s="66"/>
      <c r="E7" s="66"/>
      <c r="F7" s="66"/>
      <c r="G7" s="66"/>
      <c r="H7" s="66"/>
      <c r="I7" s="66"/>
      <c r="J7" s="66"/>
    </row>
    <row r="8" spans="3:10" x14ac:dyDescent="0.2">
      <c r="C8" s="66"/>
      <c r="D8" s="66"/>
      <c r="E8" s="66"/>
      <c r="F8" s="66"/>
      <c r="G8" s="66"/>
      <c r="H8" s="66"/>
      <c r="I8" s="66"/>
      <c r="J8" s="66"/>
    </row>
    <row r="9" spans="3:10" x14ac:dyDescent="0.2">
      <c r="C9" s="66"/>
      <c r="D9" s="66"/>
      <c r="E9" s="66"/>
      <c r="F9" s="66"/>
      <c r="G9" s="66"/>
      <c r="H9" s="66"/>
      <c r="I9" s="66"/>
      <c r="J9" s="66"/>
    </row>
    <row r="10" spans="3:10" x14ac:dyDescent="0.2">
      <c r="C10" s="66"/>
      <c r="D10" s="66"/>
      <c r="E10" s="66"/>
      <c r="F10" s="66"/>
      <c r="G10" s="66"/>
      <c r="H10" s="66"/>
      <c r="I10" s="66"/>
      <c r="J10" s="66"/>
    </row>
    <row r="11" spans="3:10" x14ac:dyDescent="0.2">
      <c r="C11" s="66"/>
      <c r="D11" s="66"/>
      <c r="E11" s="66"/>
      <c r="F11" s="66"/>
      <c r="G11" s="66"/>
      <c r="H11" s="66"/>
      <c r="I11" s="66"/>
      <c r="J11" s="66"/>
    </row>
    <row r="12" spans="3:10" x14ac:dyDescent="0.2">
      <c r="C12" s="66"/>
      <c r="D12" s="66"/>
      <c r="E12" s="66"/>
      <c r="F12" s="66"/>
      <c r="G12" s="66"/>
      <c r="H12" s="66"/>
      <c r="I12" s="66"/>
      <c r="J12" s="66"/>
    </row>
    <row r="13" spans="3:10" x14ac:dyDescent="0.2">
      <c r="C13" s="66"/>
      <c r="D13" s="66"/>
      <c r="E13" s="66"/>
      <c r="F13" s="66"/>
      <c r="G13" s="66"/>
      <c r="H13" s="66"/>
      <c r="I13" s="66"/>
      <c r="J13" s="66"/>
    </row>
    <row r="14" spans="3:10" x14ac:dyDescent="0.2">
      <c r="C14" s="66"/>
      <c r="D14" s="66"/>
      <c r="E14" s="66"/>
      <c r="F14" s="66"/>
      <c r="G14" s="66"/>
      <c r="H14" s="66"/>
      <c r="I14" s="66"/>
      <c r="J14" s="66"/>
    </row>
    <row r="15" spans="3:10" x14ac:dyDescent="0.2">
      <c r="C15" s="66"/>
      <c r="D15" s="66"/>
      <c r="E15" s="66"/>
      <c r="F15" s="66"/>
      <c r="G15" s="66"/>
      <c r="H15" s="66"/>
      <c r="I15" s="66"/>
      <c r="J15" s="66"/>
    </row>
    <row r="16" spans="3:10" x14ac:dyDescent="0.2">
      <c r="C16" s="66"/>
      <c r="D16" s="66"/>
      <c r="E16" s="66"/>
      <c r="F16" s="66"/>
      <c r="G16" s="66"/>
      <c r="H16" s="66"/>
      <c r="I16" s="66"/>
      <c r="J16" s="66"/>
    </row>
    <row r="17" spans="3:10" x14ac:dyDescent="0.2">
      <c r="C17" s="66"/>
      <c r="D17" s="66"/>
      <c r="E17" s="66"/>
      <c r="F17" s="66"/>
      <c r="G17" s="66"/>
      <c r="H17" s="66"/>
      <c r="I17" s="66"/>
      <c r="J17" s="66"/>
    </row>
    <row r="18" spans="3:10" x14ac:dyDescent="0.2">
      <c r="C18" s="66"/>
      <c r="D18" s="66"/>
      <c r="E18" s="66"/>
      <c r="F18" s="66"/>
      <c r="G18" s="66"/>
      <c r="H18" s="66"/>
      <c r="I18" s="66"/>
      <c r="J18" s="66"/>
    </row>
    <row r="19" spans="3:10" x14ac:dyDescent="0.2">
      <c r="C19" s="66"/>
      <c r="D19" s="66"/>
      <c r="E19" s="66"/>
      <c r="F19" s="66"/>
      <c r="G19" s="66"/>
      <c r="H19" s="66"/>
      <c r="I19" s="66"/>
      <c r="J19" s="66"/>
    </row>
    <row r="20" spans="3:10" x14ac:dyDescent="0.2">
      <c r="C20" s="66"/>
      <c r="D20" s="66"/>
      <c r="E20" s="66"/>
      <c r="F20" s="66"/>
      <c r="G20" s="66"/>
      <c r="H20" s="66"/>
      <c r="I20" s="66"/>
      <c r="J20" s="66"/>
    </row>
    <row r="21" spans="3:10" x14ac:dyDescent="0.2">
      <c r="C21" s="66"/>
      <c r="D21" s="66"/>
      <c r="E21" s="66"/>
      <c r="F21" s="66"/>
      <c r="G21" s="66"/>
      <c r="H21" s="66"/>
      <c r="I21" s="66"/>
      <c r="J21" s="66"/>
    </row>
    <row r="22" spans="3:10" x14ac:dyDescent="0.2">
      <c r="C22" s="66"/>
      <c r="D22" s="66"/>
      <c r="E22" s="66"/>
      <c r="F22" s="66"/>
      <c r="G22" s="66"/>
      <c r="H22" s="66"/>
      <c r="I22" s="66"/>
      <c r="J22" s="66"/>
    </row>
    <row r="23" spans="3:10" x14ac:dyDescent="0.2">
      <c r="C23" s="66"/>
      <c r="D23" s="66"/>
      <c r="E23" s="66"/>
      <c r="F23" s="66"/>
      <c r="G23" s="66"/>
      <c r="H23" s="66"/>
      <c r="I23" s="66"/>
      <c r="J23" s="66"/>
    </row>
    <row r="24" spans="3:10" x14ac:dyDescent="0.2">
      <c r="C24" s="66"/>
      <c r="D24" s="66"/>
      <c r="E24" s="66"/>
      <c r="F24" s="66"/>
      <c r="G24" s="66"/>
      <c r="H24" s="66"/>
      <c r="I24" s="66"/>
      <c r="J24" s="66"/>
    </row>
    <row r="25" spans="3:10" x14ac:dyDescent="0.2">
      <c r="C25" s="66"/>
      <c r="D25" s="66"/>
      <c r="E25" s="66"/>
      <c r="F25" s="66"/>
      <c r="G25" s="66"/>
      <c r="H25" s="66"/>
      <c r="I25" s="66"/>
      <c r="J25" s="66"/>
    </row>
    <row r="26" spans="3:10" x14ac:dyDescent="0.2">
      <c r="C26" s="66"/>
      <c r="D26" s="66"/>
      <c r="E26" s="66"/>
      <c r="F26" s="66"/>
      <c r="G26" s="66"/>
      <c r="H26" s="66"/>
      <c r="I26" s="66"/>
      <c r="J26" s="66"/>
    </row>
    <row r="27" spans="3:10" x14ac:dyDescent="0.2">
      <c r="C27" s="66"/>
      <c r="D27" s="66"/>
      <c r="E27" s="66"/>
      <c r="F27" s="66"/>
      <c r="G27" s="66"/>
      <c r="H27" s="66"/>
      <c r="I27" s="66"/>
      <c r="J27" s="66"/>
    </row>
    <row r="28" spans="3:10" x14ac:dyDescent="0.2">
      <c r="C28" s="66"/>
      <c r="D28" s="66"/>
      <c r="E28" s="66"/>
      <c r="F28" s="66"/>
      <c r="G28" s="66"/>
      <c r="H28" s="66"/>
      <c r="I28" s="66"/>
      <c r="J28" s="66"/>
    </row>
    <row r="29" spans="3:10" x14ac:dyDescent="0.2">
      <c r="C29" s="66"/>
      <c r="D29" s="66"/>
      <c r="E29" s="66"/>
      <c r="F29" s="66"/>
      <c r="G29" s="66"/>
      <c r="H29" s="66"/>
      <c r="I29" s="66"/>
      <c r="J29" s="66"/>
    </row>
    <row r="30" spans="3:10" x14ac:dyDescent="0.2">
      <c r="C30" s="66"/>
      <c r="D30" s="66"/>
      <c r="E30" s="66"/>
      <c r="F30" s="66"/>
      <c r="G30" s="66"/>
      <c r="H30" s="66"/>
      <c r="I30" s="66"/>
      <c r="J30" s="66"/>
    </row>
    <row r="31" spans="3:10" x14ac:dyDescent="0.2">
      <c r="C31" s="66"/>
      <c r="D31" s="66"/>
      <c r="E31" s="66"/>
      <c r="F31" s="66"/>
      <c r="G31" s="66"/>
      <c r="H31" s="66"/>
      <c r="I31" s="66"/>
      <c r="J31" s="66"/>
    </row>
    <row r="32" spans="3:10" x14ac:dyDescent="0.2">
      <c r="C32" s="66"/>
      <c r="D32" s="66"/>
      <c r="E32" s="66"/>
      <c r="F32" s="66"/>
      <c r="G32" s="66"/>
      <c r="H32" s="66"/>
      <c r="I32" s="66"/>
      <c r="J32" s="66"/>
    </row>
    <row r="33" spans="3:10" x14ac:dyDescent="0.2">
      <c r="C33" s="66"/>
      <c r="D33" s="66"/>
      <c r="E33" s="66"/>
      <c r="F33" s="66"/>
      <c r="G33" s="66"/>
      <c r="H33" s="66"/>
      <c r="I33" s="66"/>
      <c r="J33" s="66"/>
    </row>
    <row r="34" spans="3:10" x14ac:dyDescent="0.2">
      <c r="C34" s="66"/>
      <c r="D34" s="66"/>
      <c r="E34" s="66"/>
      <c r="F34" s="66"/>
      <c r="G34" s="66"/>
      <c r="H34" s="66"/>
      <c r="I34" s="66"/>
      <c r="J34" s="66"/>
    </row>
    <row r="35" spans="3:10" x14ac:dyDescent="0.2">
      <c r="C35" s="66"/>
      <c r="D35" s="66"/>
      <c r="E35" s="66"/>
      <c r="F35" s="66"/>
      <c r="G35" s="66"/>
      <c r="H35" s="66"/>
      <c r="I35" s="66"/>
      <c r="J35" s="66"/>
    </row>
    <row r="36" spans="3:10" x14ac:dyDescent="0.2">
      <c r="C36" s="66"/>
      <c r="D36" s="66"/>
      <c r="E36" s="66"/>
      <c r="F36" s="66"/>
      <c r="G36" s="66"/>
      <c r="H36" s="66"/>
      <c r="I36" s="66"/>
      <c r="J36" s="66"/>
    </row>
    <row r="37" spans="3:10" x14ac:dyDescent="0.2">
      <c r="C37" s="66"/>
      <c r="D37" s="66"/>
      <c r="E37" s="66"/>
      <c r="F37" s="66"/>
      <c r="G37" s="66"/>
      <c r="H37" s="66"/>
      <c r="I37" s="66"/>
      <c r="J37" s="66"/>
    </row>
    <row r="38" spans="3:10" x14ac:dyDescent="0.2">
      <c r="C38" s="66"/>
      <c r="D38" s="66"/>
      <c r="E38" s="66"/>
      <c r="F38" s="66"/>
      <c r="G38" s="66"/>
      <c r="H38" s="66"/>
      <c r="I38" s="66"/>
      <c r="J38" s="66"/>
    </row>
    <row r="39" spans="3:10" x14ac:dyDescent="0.2">
      <c r="C39" s="66"/>
      <c r="D39" s="66"/>
      <c r="E39" s="66"/>
      <c r="F39" s="66"/>
      <c r="G39" s="66"/>
      <c r="H39" s="66"/>
      <c r="I39" s="66"/>
      <c r="J39" s="66"/>
    </row>
    <row r="40" spans="3:10" x14ac:dyDescent="0.2">
      <c r="C40" s="66"/>
      <c r="D40" s="66"/>
      <c r="E40" s="66"/>
      <c r="F40" s="66"/>
      <c r="G40" s="66"/>
      <c r="H40" s="66"/>
      <c r="I40" s="66"/>
      <c r="J40" s="66"/>
    </row>
    <row r="41" spans="3:10" x14ac:dyDescent="0.2">
      <c r="C41" s="66"/>
      <c r="D41" s="66"/>
      <c r="E41" s="66"/>
      <c r="F41" s="66"/>
      <c r="G41" s="66"/>
      <c r="H41" s="66"/>
      <c r="I41" s="66"/>
      <c r="J41" s="66"/>
    </row>
    <row r="42" spans="3:10" x14ac:dyDescent="0.2">
      <c r="C42" s="66"/>
      <c r="D42" s="66"/>
      <c r="E42" s="66"/>
      <c r="F42" s="66"/>
      <c r="G42" s="66"/>
      <c r="H42" s="66"/>
      <c r="I42" s="66"/>
      <c r="J42" s="66"/>
    </row>
    <row r="43" spans="3:10" x14ac:dyDescent="0.2">
      <c r="C43" s="66"/>
      <c r="D43" s="66"/>
      <c r="E43" s="66"/>
      <c r="F43" s="66"/>
      <c r="G43" s="66"/>
      <c r="H43" s="66"/>
      <c r="I43" s="66"/>
      <c r="J43" s="66"/>
    </row>
    <row r="44" spans="3:10" x14ac:dyDescent="0.2">
      <c r="C44" s="66"/>
      <c r="D44" s="66"/>
      <c r="E44" s="66"/>
      <c r="F44" s="66"/>
      <c r="G44" s="66"/>
      <c r="H44" s="66"/>
      <c r="I44" s="66"/>
      <c r="J44" s="66"/>
    </row>
    <row r="45" spans="3:10" x14ac:dyDescent="0.2">
      <c r="C45" s="66"/>
      <c r="D45" s="66"/>
      <c r="E45" s="66"/>
      <c r="F45" s="66"/>
      <c r="G45" s="66"/>
      <c r="H45" s="66"/>
      <c r="I45" s="66"/>
      <c r="J45" s="66"/>
    </row>
    <row r="46" spans="3:10" x14ac:dyDescent="0.2">
      <c r="C46" s="66"/>
      <c r="D46" s="66"/>
      <c r="E46" s="66"/>
      <c r="F46" s="66"/>
      <c r="G46" s="66"/>
      <c r="H46" s="66"/>
      <c r="I46" s="66"/>
      <c r="J46" s="66"/>
    </row>
    <row r="47" spans="3:10" x14ac:dyDescent="0.2">
      <c r="C47" s="66"/>
      <c r="D47" s="66"/>
      <c r="E47" s="66"/>
      <c r="F47" s="66"/>
      <c r="G47" s="66"/>
      <c r="H47" s="66"/>
      <c r="I47" s="66"/>
      <c r="J47" s="66"/>
    </row>
    <row r="48" spans="3:10" x14ac:dyDescent="0.2">
      <c r="C48" s="66"/>
      <c r="D48" s="66"/>
      <c r="E48" s="66"/>
      <c r="F48" s="66"/>
      <c r="G48" s="66"/>
      <c r="H48" s="66"/>
      <c r="I48" s="66"/>
      <c r="J48" s="66"/>
    </row>
    <row r="49" spans="3:10" x14ac:dyDescent="0.2">
      <c r="C49" s="66"/>
      <c r="D49" s="66"/>
      <c r="E49" s="66"/>
      <c r="F49" s="66"/>
      <c r="G49" s="66"/>
      <c r="H49" s="66"/>
      <c r="I49" s="66"/>
      <c r="J49" s="66"/>
    </row>
    <row r="50" spans="3:10" x14ac:dyDescent="0.2">
      <c r="C50" s="66"/>
      <c r="D50" s="66"/>
      <c r="E50" s="66"/>
      <c r="F50" s="66"/>
      <c r="G50" s="66"/>
      <c r="H50" s="66"/>
      <c r="I50" s="66"/>
      <c r="J50" s="66"/>
    </row>
    <row r="51" spans="3:10" x14ac:dyDescent="0.2">
      <c r="C51" s="66"/>
      <c r="D51" s="66"/>
      <c r="E51" s="66"/>
      <c r="F51" s="66"/>
      <c r="G51" s="66"/>
      <c r="H51" s="66"/>
      <c r="I51" s="66"/>
      <c r="J51" s="66"/>
    </row>
    <row r="52" spans="3:10" x14ac:dyDescent="0.2">
      <c r="C52" s="66"/>
      <c r="D52" s="66"/>
      <c r="E52" s="66"/>
      <c r="F52" s="66"/>
      <c r="G52" s="66"/>
      <c r="H52" s="66"/>
      <c r="I52" s="66"/>
      <c r="J52" s="66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54"/>
  <sheetViews>
    <sheetView showGridLines="0" zoomScale="80" zoomScaleNormal="80" workbookViewId="0">
      <selection activeCell="O11" sqref="O11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1"/>
    </row>
    <row r="2" spans="2:11" x14ac:dyDescent="0.2">
      <c r="H2" s="41" t="s">
        <v>84</v>
      </c>
    </row>
    <row r="5" spans="2:11" x14ac:dyDescent="0.2">
      <c r="B5" s="808" t="s">
        <v>165</v>
      </c>
      <c r="C5" s="808"/>
      <c r="D5" s="808"/>
      <c r="E5" s="808"/>
      <c r="F5" s="808"/>
    </row>
    <row r="7" spans="2:11" x14ac:dyDescent="0.2">
      <c r="C7" s="234" t="s">
        <v>150</v>
      </c>
      <c r="D7" s="234"/>
      <c r="E7" s="234"/>
      <c r="F7" s="234"/>
      <c r="G7" s="234"/>
      <c r="H7" s="234"/>
      <c r="I7" s="234"/>
      <c r="J7" s="234"/>
      <c r="K7" s="234"/>
    </row>
    <row r="9" spans="2:11" x14ac:dyDescent="0.2">
      <c r="C9" s="234" t="s">
        <v>151</v>
      </c>
      <c r="D9" s="234"/>
      <c r="E9" s="234"/>
      <c r="F9" s="234"/>
      <c r="G9" s="234"/>
      <c r="H9" s="234"/>
      <c r="I9" s="233"/>
      <c r="J9" s="233"/>
      <c r="K9" s="233"/>
    </row>
    <row r="11" spans="2:11" x14ac:dyDescent="0.2">
      <c r="B11" s="803" t="s">
        <v>166</v>
      </c>
      <c r="C11" s="803"/>
      <c r="D11" s="803"/>
      <c r="E11" s="803"/>
      <c r="F11" s="803"/>
    </row>
    <row r="13" spans="2:11" x14ac:dyDescent="0.2">
      <c r="C13" s="235" t="s">
        <v>152</v>
      </c>
      <c r="D13" s="235"/>
      <c r="E13" s="235"/>
      <c r="F13" s="235"/>
      <c r="G13" s="235"/>
      <c r="H13" s="235"/>
    </row>
    <row r="15" spans="2:11" x14ac:dyDescent="0.2">
      <c r="C15" s="235" t="s">
        <v>153</v>
      </c>
      <c r="D15" s="235"/>
      <c r="E15" s="235"/>
      <c r="F15" s="235"/>
      <c r="G15" s="235"/>
      <c r="H15" s="235"/>
      <c r="I15" s="233"/>
      <c r="J15" s="233"/>
      <c r="K15" s="233"/>
    </row>
    <row r="19" spans="2:16" x14ac:dyDescent="0.2">
      <c r="B19" s="803" t="s">
        <v>167</v>
      </c>
      <c r="C19" s="803"/>
      <c r="D19" s="803"/>
      <c r="E19" s="803"/>
      <c r="F19" s="803"/>
    </row>
    <row r="21" spans="2:16" x14ac:dyDescent="0.2">
      <c r="C21" s="235" t="s">
        <v>155</v>
      </c>
      <c r="D21" s="235"/>
      <c r="E21" s="235"/>
      <c r="F21" s="236"/>
      <c r="G21" s="236"/>
      <c r="H21" s="236"/>
    </row>
    <row r="22" spans="2:16" x14ac:dyDescent="0.2">
      <c r="C22" s="804"/>
      <c r="D22" s="804"/>
      <c r="E22" s="804"/>
      <c r="F22" s="804"/>
      <c r="G22" s="804"/>
      <c r="H22" s="804"/>
      <c r="I22" s="804"/>
      <c r="J22" s="804"/>
      <c r="K22" s="804"/>
    </row>
    <row r="24" spans="2:16" x14ac:dyDescent="0.2">
      <c r="B24" s="803" t="s">
        <v>168</v>
      </c>
      <c r="C24" s="803"/>
      <c r="D24" s="803"/>
      <c r="E24" s="803"/>
      <c r="F24" s="803"/>
    </row>
    <row r="26" spans="2:16" x14ac:dyDescent="0.2">
      <c r="C26" s="237" t="s">
        <v>156</v>
      </c>
      <c r="D26" s="237"/>
      <c r="E26" s="237"/>
      <c r="F26" s="237"/>
      <c r="G26" s="237"/>
      <c r="H26" s="237"/>
      <c r="I26" s="237"/>
      <c r="J26" s="237"/>
    </row>
    <row r="27" spans="2:16" ht="12.75" customHeight="1" x14ac:dyDescent="0.2">
      <c r="C27" s="805" t="s">
        <v>157</v>
      </c>
      <c r="D27" s="805"/>
      <c r="E27" s="805"/>
      <c r="F27" s="805"/>
      <c r="G27" s="805"/>
      <c r="H27" s="805"/>
      <c r="I27" s="805"/>
      <c r="J27" s="805"/>
      <c r="K27" s="805"/>
      <c r="L27" s="805"/>
      <c r="M27" s="805"/>
    </row>
    <row r="28" spans="2:16" ht="12.75" customHeight="1" x14ac:dyDescent="0.2">
      <c r="C28" s="805"/>
      <c r="D28" s="805"/>
      <c r="E28" s="805"/>
      <c r="F28" s="805"/>
      <c r="G28" s="805"/>
      <c r="H28" s="805"/>
      <c r="I28" s="805"/>
      <c r="J28" s="805"/>
      <c r="K28" s="805"/>
      <c r="L28" s="805"/>
      <c r="M28" s="805"/>
    </row>
    <row r="29" spans="2:16" ht="12.75" customHeight="1" x14ac:dyDescent="0.2">
      <c r="C29" s="237" t="s">
        <v>158</v>
      </c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6"/>
    </row>
    <row r="30" spans="2:16" ht="12.75" customHeight="1" x14ac:dyDescent="0.2"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6"/>
    </row>
    <row r="31" spans="2:16" ht="12.75" customHeight="1" x14ac:dyDescent="0.2">
      <c r="C31" s="241" t="s">
        <v>159</v>
      </c>
      <c r="D31" s="238"/>
      <c r="E31" s="238"/>
      <c r="F31" s="240"/>
      <c r="G31" s="238"/>
      <c r="H31" s="238"/>
      <c r="I31" s="238"/>
      <c r="J31" s="238"/>
      <c r="K31" s="238"/>
      <c r="L31" s="238"/>
      <c r="M31" s="238"/>
      <c r="N31" s="236"/>
      <c r="O31" s="236"/>
      <c r="P31" s="236"/>
    </row>
    <row r="32" spans="2:16" ht="12.75" customHeight="1" x14ac:dyDescent="0.2">
      <c r="C32" s="239"/>
      <c r="D32" s="239"/>
      <c r="E32" s="239"/>
      <c r="F32" s="239"/>
      <c r="G32" s="239"/>
      <c r="H32" s="239"/>
      <c r="I32" s="238"/>
      <c r="J32" s="238"/>
      <c r="K32" s="238"/>
      <c r="L32" s="238"/>
      <c r="M32" s="238"/>
      <c r="N32" s="236"/>
    </row>
    <row r="33" spans="2:19" ht="12.75" customHeight="1" x14ac:dyDescent="0.2">
      <c r="C33" s="806" t="s">
        <v>160</v>
      </c>
      <c r="D33" s="806"/>
      <c r="E33" s="806"/>
      <c r="F33" s="806"/>
      <c r="G33" s="806"/>
      <c r="H33" s="806"/>
      <c r="I33" s="806"/>
      <c r="J33" s="806"/>
      <c r="K33" s="806"/>
      <c r="L33" s="806"/>
      <c r="M33" s="806"/>
      <c r="N33" s="236"/>
    </row>
    <row r="34" spans="2:19" ht="12.75" customHeight="1" x14ac:dyDescent="0.2">
      <c r="C34" s="189"/>
      <c r="D34" s="189"/>
      <c r="E34" s="189"/>
      <c r="F34" s="189"/>
      <c r="G34" s="189"/>
      <c r="H34" s="189"/>
      <c r="I34" s="237"/>
      <c r="J34" s="237"/>
      <c r="K34" s="237"/>
      <c r="L34" s="237"/>
      <c r="M34" s="237"/>
      <c r="N34" s="236"/>
    </row>
    <row r="35" spans="2:19" ht="12.75" customHeight="1" x14ac:dyDescent="0.2">
      <c r="C35" s="238" t="s">
        <v>161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6"/>
    </row>
    <row r="36" spans="2:19" ht="12.75" customHeight="1" x14ac:dyDescent="0.2">
      <c r="C36" s="239"/>
      <c r="D36" s="239"/>
      <c r="E36" s="239"/>
      <c r="F36" s="239"/>
      <c r="G36" s="239"/>
      <c r="H36" s="239"/>
      <c r="I36" s="238"/>
      <c r="J36" s="238"/>
      <c r="K36" s="238"/>
      <c r="L36" s="238"/>
      <c r="M36" s="238"/>
      <c r="N36" s="236"/>
    </row>
    <row r="37" spans="2:19" ht="12.75" customHeight="1" x14ac:dyDescent="0.2"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</row>
    <row r="38" spans="2:19" ht="12.75" customHeight="1" x14ac:dyDescent="0.2"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</row>
    <row r="39" spans="2:19" ht="12.75" customHeight="1" x14ac:dyDescent="0.2">
      <c r="B39" s="241" t="s">
        <v>169</v>
      </c>
      <c r="C39" s="237"/>
      <c r="D39" s="138"/>
      <c r="E39" s="138"/>
      <c r="F39" s="138"/>
      <c r="G39" s="138"/>
      <c r="H39" s="138"/>
      <c r="I39" s="138"/>
      <c r="J39" s="138"/>
      <c r="K39" s="138"/>
      <c r="L39" s="138"/>
      <c r="M39" s="138"/>
    </row>
    <row r="40" spans="2:19" x14ac:dyDescent="0.2">
      <c r="O40" s="804"/>
      <c r="P40" s="804"/>
      <c r="Q40" s="804"/>
      <c r="R40" s="804"/>
      <c r="S40" s="804"/>
    </row>
    <row r="41" spans="2:19" x14ac:dyDescent="0.2">
      <c r="C41" s="807" t="s">
        <v>162</v>
      </c>
      <c r="D41" s="807"/>
      <c r="E41" s="807"/>
      <c r="F41" s="807"/>
    </row>
    <row r="42" spans="2:19" x14ac:dyDescent="0.2">
      <c r="C42" s="804"/>
      <c r="D42" s="804"/>
      <c r="E42" s="804"/>
      <c r="F42" s="804"/>
      <c r="G42" s="804"/>
      <c r="H42" s="804"/>
      <c r="I42" s="804"/>
      <c r="J42" s="804"/>
    </row>
    <row r="44" spans="2:19" x14ac:dyDescent="0.2">
      <c r="B44" s="803" t="s">
        <v>170</v>
      </c>
      <c r="C44" s="803"/>
      <c r="D44" s="803"/>
      <c r="E44" s="803"/>
      <c r="F44" s="803"/>
    </row>
    <row r="46" spans="2:19" x14ac:dyDescent="0.2">
      <c r="C46" s="242" t="s">
        <v>163</v>
      </c>
      <c r="D46" s="242"/>
      <c r="E46" s="242"/>
      <c r="F46" s="242"/>
      <c r="G46" s="242"/>
      <c r="H46" s="242"/>
      <c r="I46" s="242"/>
      <c r="J46" s="242"/>
      <c r="K46" s="243"/>
      <c r="L46" s="243"/>
      <c r="M46" s="243"/>
    </row>
    <row r="50" spans="2:13" x14ac:dyDescent="0.2">
      <c r="B50" s="803" t="s">
        <v>171</v>
      </c>
      <c r="C50" s="803"/>
      <c r="D50" s="803"/>
      <c r="E50" s="803"/>
      <c r="F50" s="803"/>
    </row>
    <row r="52" spans="2:13" x14ac:dyDescent="0.2">
      <c r="C52" s="237" t="s">
        <v>164</v>
      </c>
      <c r="D52" s="237"/>
      <c r="E52" s="237"/>
      <c r="F52" s="237"/>
      <c r="G52" s="236"/>
      <c r="H52" s="236"/>
      <c r="I52" s="236"/>
      <c r="J52" s="236"/>
      <c r="K52" s="236"/>
      <c r="L52" s="236"/>
      <c r="M52" s="236"/>
    </row>
    <row r="54" spans="2:13" x14ac:dyDescent="0.2">
      <c r="B54" s="236" t="s">
        <v>172</v>
      </c>
      <c r="C54" s="236"/>
    </row>
  </sheetData>
  <sheetProtection password="9C6E" sheet="1" objects="1" scenarios="1"/>
  <mergeCells count="12"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41"/>
  <sheetViews>
    <sheetView showGridLines="0" topLeftCell="D1" zoomScale="90" zoomScaleNormal="90" workbookViewId="0">
      <selection activeCell="J9" sqref="J9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1" t="s">
        <v>204</v>
      </c>
      <c r="F1" s="41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1" t="s">
        <v>197</v>
      </c>
      <c r="F2" s="41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2"/>
      <c r="B4" s="23"/>
      <c r="C4" s="826" t="s">
        <v>0</v>
      </c>
      <c r="D4" s="826"/>
      <c r="E4" s="827" t="s">
        <v>146</v>
      </c>
      <c r="F4" s="828"/>
      <c r="G4" s="829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44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846" t="s">
        <v>150</v>
      </c>
      <c r="B6" s="846"/>
      <c r="C6" s="846"/>
      <c r="D6" s="846"/>
      <c r="E6" s="4"/>
      <c r="F6" s="4"/>
      <c r="G6" s="9"/>
      <c r="H6" s="244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4"/>
      <c r="C7" s="44"/>
      <c r="E7" s="44"/>
      <c r="F7" s="44"/>
      <c r="G7" s="44"/>
      <c r="H7" s="44"/>
      <c r="I7" s="44"/>
      <c r="M7" s="45"/>
    </row>
    <row r="8" spans="1:247" ht="39" customHeight="1" x14ac:dyDescent="0.2">
      <c r="A8" s="289" t="s">
        <v>113</v>
      </c>
      <c r="B8" s="290" t="str">
        <f>+N19</f>
        <v>Ingreso por Matrícula</v>
      </c>
      <c r="C8" s="291" t="str">
        <f>+O19</f>
        <v>Ingreso por Mensualidad</v>
      </c>
      <c r="D8" s="291" t="s">
        <v>126</v>
      </c>
      <c r="E8" s="292" t="s">
        <v>82</v>
      </c>
      <c r="F8" s="293" t="s">
        <v>79</v>
      </c>
      <c r="G8" s="294" t="s">
        <v>80</v>
      </c>
      <c r="H8" s="295" t="s">
        <v>107</v>
      </c>
      <c r="I8" s="296" t="s">
        <v>112</v>
      </c>
      <c r="L8" s="54" t="s">
        <v>111</v>
      </c>
      <c r="N8" s="101"/>
    </row>
    <row r="9" spans="1:247" x14ac:dyDescent="0.2">
      <c r="A9" s="297" t="str">
        <f>+'B) Reajuste Tarifas y Ocupación'!A12</f>
        <v>Jardín Infantil Olitas de Mar</v>
      </c>
      <c r="B9" s="298">
        <f>+N30</f>
        <v>4321700</v>
      </c>
      <c r="C9" s="299">
        <f>+O30</f>
        <v>43217000</v>
      </c>
      <c r="D9" s="298">
        <f>+P30</f>
        <v>265500</v>
      </c>
      <c r="E9" s="300">
        <f>+B9+D9+C9</f>
        <v>47804200</v>
      </c>
      <c r="F9" s="301">
        <f>+'C) Costos Directos'!H75</f>
        <v>43145633.594440483</v>
      </c>
      <c r="G9" s="302">
        <f>+'D) Costos Indirectos'!$AP$15*(F9/$F$12)</f>
        <v>20377514.975285538</v>
      </c>
      <c r="H9" s="303">
        <f>+F9+G9</f>
        <v>63523148.56972602</v>
      </c>
      <c r="I9" s="304">
        <f>E9-H9</f>
        <v>-15718948.56972602</v>
      </c>
      <c r="L9" s="74">
        <f>+G9/$G$12</f>
        <v>0.64786174359941473</v>
      </c>
      <c r="N9" s="102"/>
    </row>
    <row r="10" spans="1:247" x14ac:dyDescent="0.2">
      <c r="A10" s="434" t="s">
        <v>236</v>
      </c>
      <c r="B10" s="298">
        <f>+N33+'20201001Tarifas 2021 Stgo 09 21'!N39</f>
        <v>0</v>
      </c>
      <c r="C10" s="299">
        <f>O33+O39</f>
        <v>52080000</v>
      </c>
      <c r="D10" s="688"/>
      <c r="E10" s="300">
        <f>+B10+D10+C10</f>
        <v>52080000</v>
      </c>
      <c r="F10" s="301">
        <f>'C) Costos Directos'!H139</f>
        <v>23451343.338832878</v>
      </c>
      <c r="G10" s="302">
        <f>+'D) Costos Indirectos'!$AP$15*(F10/$F$12)</f>
        <v>11075978.268614575</v>
      </c>
      <c r="H10" s="303">
        <f>+F10+G10</f>
        <v>34527321.607447453</v>
      </c>
      <c r="I10" s="304">
        <f>E10-H10</f>
        <v>17552678.392552547</v>
      </c>
      <c r="L10" s="74">
        <f>+G10/$G$12</f>
        <v>0.35213825640058527</v>
      </c>
      <c r="N10" s="102"/>
    </row>
    <row r="11" spans="1:247" x14ac:dyDescent="0.2">
      <c r="A11" s="434" t="s">
        <v>237</v>
      </c>
      <c r="B11" s="298">
        <f>N36</f>
        <v>0</v>
      </c>
      <c r="C11" s="299">
        <f>O36</f>
        <v>0</v>
      </c>
      <c r="D11" s="688"/>
      <c r="E11" s="300">
        <f>+B11+D11+C11</f>
        <v>0</v>
      </c>
      <c r="F11" s="301">
        <f>+'C) Costos Directos'!H141</f>
        <v>0</v>
      </c>
      <c r="G11" s="302">
        <f>+'D) Costos Indirectos'!$AP$15*(F11/$F$12)</f>
        <v>0</v>
      </c>
      <c r="H11" s="303">
        <f>+F11+G11</f>
        <v>0</v>
      </c>
      <c r="I11" s="304">
        <f>E11-H11</f>
        <v>0</v>
      </c>
      <c r="L11" s="74">
        <f>+G11/$G$12</f>
        <v>0</v>
      </c>
      <c r="N11" s="102"/>
    </row>
    <row r="12" spans="1:247" s="6" customFormat="1" ht="15.75" thickBot="1" x14ac:dyDescent="0.25">
      <c r="A12" s="305" t="s">
        <v>1</v>
      </c>
      <c r="B12" s="306">
        <f>SUM(B9:B11)</f>
        <v>4321700</v>
      </c>
      <c r="C12" s="306">
        <f t="shared" ref="C12:I12" si="0">SUM(C9:C11)</f>
        <v>95297000</v>
      </c>
      <c r="D12" s="306">
        <f t="shared" si="0"/>
        <v>265500</v>
      </c>
      <c r="E12" s="306">
        <f t="shared" si="0"/>
        <v>99884200</v>
      </c>
      <c r="F12" s="306">
        <f t="shared" si="0"/>
        <v>66596976.93327336</v>
      </c>
      <c r="G12" s="306">
        <f t="shared" si="0"/>
        <v>31453493.243900113</v>
      </c>
      <c r="H12" s="306">
        <f t="shared" si="0"/>
        <v>98050470.177173465</v>
      </c>
      <c r="I12" s="306">
        <f t="shared" si="0"/>
        <v>1833729.8228265271</v>
      </c>
      <c r="L12" s="75">
        <f>SUM(L9:L11)</f>
        <v>1</v>
      </c>
      <c r="N12" s="45"/>
      <c r="O12" s="255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56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11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6" customFormat="1" ht="15.75" customHeight="1" x14ac:dyDescent="0.2">
      <c r="A16" s="11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IB16" s="4"/>
      <c r="IC16" s="4"/>
      <c r="ID16" s="4"/>
      <c r="IE16" s="4"/>
      <c r="IF16" s="4"/>
      <c r="IG16" s="4"/>
      <c r="IH16" s="4"/>
    </row>
    <row r="17" spans="1:247" s="6" customFormat="1" ht="15.75" customHeight="1" x14ac:dyDescent="0.2">
      <c r="A17" s="846" t="s">
        <v>151</v>
      </c>
      <c r="B17" s="846"/>
      <c r="C17" s="846"/>
      <c r="D17" s="846"/>
      <c r="E17" s="12"/>
      <c r="F17" s="12"/>
      <c r="G17" s="12"/>
      <c r="H17" s="12"/>
      <c r="I17" s="12"/>
      <c r="J17" s="12"/>
      <c r="K17" s="12"/>
      <c r="L17" s="12" t="s">
        <v>387</v>
      </c>
      <c r="M17" s="12"/>
      <c r="N17" s="12"/>
      <c r="IB17" s="4"/>
      <c r="IC17" s="4"/>
      <c r="ID17" s="4"/>
      <c r="IE17" s="4"/>
      <c r="IF17" s="4"/>
      <c r="IG17" s="4"/>
      <c r="IH17" s="4"/>
    </row>
    <row r="18" spans="1:247" s="14" customFormat="1" ht="13.5" thickBot="1" x14ac:dyDescent="0.25">
      <c r="B18" s="44"/>
      <c r="C18" s="44"/>
      <c r="D18" s="44"/>
      <c r="E18" s="44"/>
      <c r="F18" s="44"/>
      <c r="G18" s="44"/>
      <c r="H18" s="44"/>
      <c r="I18" s="13"/>
      <c r="J18" s="13"/>
      <c r="K18" s="13"/>
      <c r="L18" s="3"/>
      <c r="M18" s="3"/>
      <c r="O18" s="15"/>
      <c r="P18" s="15"/>
      <c r="IL18" s="10"/>
      <c r="IM18" s="10"/>
    </row>
    <row r="19" spans="1:247" s="16" customFormat="1" ht="15.75" customHeight="1" x14ac:dyDescent="0.2">
      <c r="A19" s="847" t="s">
        <v>113</v>
      </c>
      <c r="B19" s="849" t="s">
        <v>5</v>
      </c>
      <c r="C19" s="830" t="s">
        <v>2</v>
      </c>
      <c r="D19" s="832" t="s">
        <v>239</v>
      </c>
      <c r="E19" s="833"/>
      <c r="F19" s="833"/>
      <c r="G19" s="833"/>
      <c r="H19" s="834"/>
      <c r="I19" s="835" t="s">
        <v>234</v>
      </c>
      <c r="J19" s="836"/>
      <c r="K19" s="836"/>
      <c r="L19" s="836"/>
      <c r="M19" s="837"/>
      <c r="N19" s="840" t="s">
        <v>89</v>
      </c>
      <c r="O19" s="842" t="s">
        <v>90</v>
      </c>
      <c r="P19" s="838" t="s">
        <v>126</v>
      </c>
      <c r="Q19" s="844" t="s">
        <v>106</v>
      </c>
    </row>
    <row r="20" spans="1:247" s="16" customFormat="1" ht="39" thickBot="1" x14ac:dyDescent="0.25">
      <c r="A20" s="848"/>
      <c r="B20" s="850"/>
      <c r="C20" s="831"/>
      <c r="D20" s="264" t="s">
        <v>86</v>
      </c>
      <c r="E20" s="263" t="s">
        <v>139</v>
      </c>
      <c r="F20" s="263" t="s">
        <v>140</v>
      </c>
      <c r="G20" s="263" t="s">
        <v>87</v>
      </c>
      <c r="H20" s="265" t="s">
        <v>88</v>
      </c>
      <c r="I20" s="264" t="s">
        <v>86</v>
      </c>
      <c r="J20" s="263" t="s">
        <v>139</v>
      </c>
      <c r="K20" s="263" t="s">
        <v>140</v>
      </c>
      <c r="L20" s="263" t="s">
        <v>87</v>
      </c>
      <c r="M20" s="265" t="s">
        <v>88</v>
      </c>
      <c r="N20" s="841"/>
      <c r="O20" s="843"/>
      <c r="P20" s="839"/>
      <c r="Q20" s="845"/>
    </row>
    <row r="21" spans="1:247" ht="12.75" customHeight="1" x14ac:dyDescent="0.2">
      <c r="A21" s="818" t="str">
        <f>+'B) Reajuste Tarifas y Ocupación'!A12</f>
        <v>Jardín Infantil Olitas de Mar</v>
      </c>
      <c r="B21" s="811" t="str">
        <f>+'B) Reajuste Tarifas y Ocupación'!B12</f>
        <v>Media jornada</v>
      </c>
      <c r="C21" s="268" t="s">
        <v>238</v>
      </c>
      <c r="D21" s="275">
        <f t="shared" ref="D21:F22" si="1">+I21</f>
        <v>49400</v>
      </c>
      <c r="E21" s="269">
        <f t="shared" si="1"/>
        <v>59300</v>
      </c>
      <c r="F21" s="269">
        <f t="shared" si="1"/>
        <v>59300</v>
      </c>
      <c r="G21" s="269">
        <f>+L21</f>
        <v>74800</v>
      </c>
      <c r="H21" s="276">
        <f>+M21</f>
        <v>120100</v>
      </c>
      <c r="I21" s="275">
        <f>+'B) Reajuste Tarifas y Ocupación'!M12</f>
        <v>49400</v>
      </c>
      <c r="J21" s="269">
        <f>+'B) Reajuste Tarifas y Ocupación'!N12</f>
        <v>59300</v>
      </c>
      <c r="K21" s="269">
        <f>+'B) Reajuste Tarifas y Ocupación'!O12</f>
        <v>59300</v>
      </c>
      <c r="L21" s="269">
        <f>+'B) Reajuste Tarifas y Ocupación'!P12</f>
        <v>74800</v>
      </c>
      <c r="M21" s="276">
        <f>+'B) Reajuste Tarifas y Ocupación'!Q12</f>
        <v>120100</v>
      </c>
      <c r="N21" s="281"/>
      <c r="O21" s="270"/>
      <c r="P21" s="285">
        <f>+'B) Reajuste Tarifas y Ocupación'!C12</f>
        <v>49400</v>
      </c>
      <c r="Q21" s="809"/>
    </row>
    <row r="22" spans="1:247" x14ac:dyDescent="0.2">
      <c r="A22" s="819"/>
      <c r="B22" s="812"/>
      <c r="C22" s="262" t="s">
        <v>7</v>
      </c>
      <c r="D22" s="277">
        <f t="shared" si="1"/>
        <v>1</v>
      </c>
      <c r="E22" s="267">
        <f t="shared" si="1"/>
        <v>0</v>
      </c>
      <c r="F22" s="267">
        <f t="shared" si="1"/>
        <v>0</v>
      </c>
      <c r="G22" s="267">
        <f>+L22</f>
        <v>0</v>
      </c>
      <c r="H22" s="278">
        <f>+M22</f>
        <v>0</v>
      </c>
      <c r="I22" s="277">
        <f>+'B) Reajuste Tarifas y Ocupación'!C23</f>
        <v>1</v>
      </c>
      <c r="J22" s="267">
        <f>+'B) Reajuste Tarifas y Ocupación'!D23</f>
        <v>0</v>
      </c>
      <c r="K22" s="267">
        <f>+'B) Reajuste Tarifas y Ocupación'!E23</f>
        <v>0</v>
      </c>
      <c r="L22" s="267">
        <f>+'B) Reajuste Tarifas y Ocupación'!F23</f>
        <v>0</v>
      </c>
      <c r="M22" s="278">
        <f>+'B) Reajuste Tarifas y Ocupación'!G23</f>
        <v>0</v>
      </c>
      <c r="N22" s="282"/>
      <c r="O22" s="266"/>
      <c r="P22" s="286">
        <v>0</v>
      </c>
      <c r="Q22" s="810"/>
    </row>
    <row r="23" spans="1:247" ht="13.5" thickBot="1" x14ac:dyDescent="0.25">
      <c r="A23" s="819"/>
      <c r="B23" s="813"/>
      <c r="C23" s="271" t="s">
        <v>9</v>
      </c>
      <c r="D23" s="279">
        <f>D22*D21</f>
        <v>49400</v>
      </c>
      <c r="E23" s="272">
        <f>E22*E21</f>
        <v>0</v>
      </c>
      <c r="F23" s="272">
        <f>F22*F21</f>
        <v>0</v>
      </c>
      <c r="G23" s="272">
        <f>G22*G21</f>
        <v>0</v>
      </c>
      <c r="H23" s="280">
        <f>H22*H21</f>
        <v>0</v>
      </c>
      <c r="I23" s="382">
        <f>I22*I21*10</f>
        <v>494000</v>
      </c>
      <c r="J23" s="383">
        <f>J22*J21*10</f>
        <v>0</v>
      </c>
      <c r="K23" s="383">
        <f>K22*K21*10</f>
        <v>0</v>
      </c>
      <c r="L23" s="383">
        <f>L22*L21*10</f>
        <v>0</v>
      </c>
      <c r="M23" s="384">
        <f>M22*M21*10</f>
        <v>0</v>
      </c>
      <c r="N23" s="283">
        <f>SUM(D23:H23)</f>
        <v>49400</v>
      </c>
      <c r="O23" s="273">
        <f>SUM(I23:M23)</f>
        <v>494000</v>
      </c>
      <c r="P23" s="287">
        <f>P22*P21</f>
        <v>0</v>
      </c>
      <c r="Q23" s="288">
        <f>N23+O23+P23</f>
        <v>543400</v>
      </c>
    </row>
    <row r="24" spans="1:247" x14ac:dyDescent="0.2">
      <c r="A24" s="819"/>
      <c r="B24" s="814" t="s">
        <v>211</v>
      </c>
      <c r="C24" s="268" t="s">
        <v>238</v>
      </c>
      <c r="D24" s="275">
        <f t="shared" ref="D24:H25" si="2">+I24</f>
        <v>56400</v>
      </c>
      <c r="E24" s="269">
        <f t="shared" si="2"/>
        <v>67700</v>
      </c>
      <c r="F24" s="269">
        <f t="shared" si="2"/>
        <v>67700</v>
      </c>
      <c r="G24" s="269">
        <f t="shared" si="2"/>
        <v>107000</v>
      </c>
      <c r="H24" s="381">
        <f t="shared" si="2"/>
        <v>159400</v>
      </c>
      <c r="I24" s="275">
        <f>+'B) Reajuste Tarifas y Ocupación'!M13</f>
        <v>56400</v>
      </c>
      <c r="J24" s="269">
        <f>+'B) Reajuste Tarifas y Ocupación'!N13</f>
        <v>67700</v>
      </c>
      <c r="K24" s="269">
        <f>+'B) Reajuste Tarifas y Ocupación'!O13</f>
        <v>67700</v>
      </c>
      <c r="L24" s="269">
        <f>+'B) Reajuste Tarifas y Ocupación'!P13</f>
        <v>107000</v>
      </c>
      <c r="M24" s="276">
        <f>+'B) Reajuste Tarifas y Ocupación'!Q13</f>
        <v>159400</v>
      </c>
      <c r="N24" s="281"/>
      <c r="O24" s="270"/>
      <c r="P24" s="285">
        <f>+'B) Reajuste Tarifas y Ocupación'!C13</f>
        <v>56400</v>
      </c>
      <c r="Q24" s="809"/>
    </row>
    <row r="25" spans="1:247" x14ac:dyDescent="0.2">
      <c r="A25" s="819"/>
      <c r="B25" s="815"/>
      <c r="C25" s="262" t="s">
        <v>7</v>
      </c>
      <c r="D25" s="277">
        <f t="shared" si="2"/>
        <v>2</v>
      </c>
      <c r="E25" s="267">
        <f t="shared" si="2"/>
        <v>0</v>
      </c>
      <c r="F25" s="267">
        <f t="shared" si="2"/>
        <v>0</v>
      </c>
      <c r="G25" s="267">
        <f t="shared" si="2"/>
        <v>0</v>
      </c>
      <c r="H25" s="385">
        <f t="shared" si="2"/>
        <v>0</v>
      </c>
      <c r="I25" s="277">
        <f>+'B) Reajuste Tarifas y Ocupación'!C24</f>
        <v>2</v>
      </c>
      <c r="J25" s="267">
        <f>+'B) Reajuste Tarifas y Ocupación'!D24</f>
        <v>0</v>
      </c>
      <c r="K25" s="267">
        <f>+'B) Reajuste Tarifas y Ocupación'!E24</f>
        <v>0</v>
      </c>
      <c r="L25" s="267">
        <f>+'B) Reajuste Tarifas y Ocupación'!F24</f>
        <v>0</v>
      </c>
      <c r="M25" s="278">
        <f>+'B) Reajuste Tarifas y Ocupación'!G24</f>
        <v>0</v>
      </c>
      <c r="N25" s="282"/>
      <c r="O25" s="266"/>
      <c r="P25" s="286">
        <v>0</v>
      </c>
      <c r="Q25" s="810"/>
    </row>
    <row r="26" spans="1:247" ht="13.5" thickBot="1" x14ac:dyDescent="0.25">
      <c r="A26" s="819"/>
      <c r="B26" s="816"/>
      <c r="C26" s="271" t="s">
        <v>9</v>
      </c>
      <c r="D26" s="279">
        <f>D25*D24</f>
        <v>112800</v>
      </c>
      <c r="E26" s="272">
        <f>E25*E24</f>
        <v>0</v>
      </c>
      <c r="F26" s="272">
        <f>F25*F24</f>
        <v>0</v>
      </c>
      <c r="G26" s="272">
        <f>G25*G24</f>
        <v>0</v>
      </c>
      <c r="H26" s="287">
        <f>H25*H24</f>
        <v>0</v>
      </c>
      <c r="I26" s="279">
        <f>I25*I24*10</f>
        <v>1128000</v>
      </c>
      <c r="J26" s="272">
        <f>J25*J24*10</f>
        <v>0</v>
      </c>
      <c r="K26" s="272">
        <f>K25*K24*10</f>
        <v>0</v>
      </c>
      <c r="L26" s="272">
        <f>L25*L24*10</f>
        <v>0</v>
      </c>
      <c r="M26" s="280">
        <f>M25*M24*10</f>
        <v>0</v>
      </c>
      <c r="N26" s="283">
        <f>SUM(D26:H26)</f>
        <v>112800</v>
      </c>
      <c r="O26" s="273">
        <f>SUM(I26:M26)</f>
        <v>1128000</v>
      </c>
      <c r="P26" s="287">
        <f>P25*P24</f>
        <v>0</v>
      </c>
      <c r="Q26" s="288">
        <f>N26+O26+P26</f>
        <v>1240800</v>
      </c>
    </row>
    <row r="27" spans="1:247" x14ac:dyDescent="0.2">
      <c r="A27" s="819"/>
      <c r="B27" s="811" t="str">
        <f>+'B) Reajuste Tarifas y Ocupación'!B14</f>
        <v>Jornada Completa</v>
      </c>
      <c r="C27" s="268" t="s">
        <v>238</v>
      </c>
      <c r="D27" s="275">
        <f t="shared" ref="D27:F28" si="3">+I27</f>
        <v>88500</v>
      </c>
      <c r="E27" s="269">
        <f t="shared" si="3"/>
        <v>106200</v>
      </c>
      <c r="F27" s="269">
        <f t="shared" si="3"/>
        <v>106200</v>
      </c>
      <c r="G27" s="269">
        <f>+L27</f>
        <v>137000</v>
      </c>
      <c r="H27" s="276">
        <f>+M27</f>
        <v>220300</v>
      </c>
      <c r="I27" s="386">
        <f>+'B) Reajuste Tarifas y Ocupación'!M14</f>
        <v>88500</v>
      </c>
      <c r="J27" s="387">
        <f>+'B) Reajuste Tarifas y Ocupación'!N14</f>
        <v>106200</v>
      </c>
      <c r="K27" s="387">
        <f>+'B) Reajuste Tarifas y Ocupación'!O14</f>
        <v>106200</v>
      </c>
      <c r="L27" s="387">
        <f>+'B) Reajuste Tarifas y Ocupación'!P14</f>
        <v>137000</v>
      </c>
      <c r="M27" s="388">
        <f>+'B) Reajuste Tarifas y Ocupación'!Q14</f>
        <v>220300</v>
      </c>
      <c r="N27" s="281"/>
      <c r="O27" s="270"/>
      <c r="P27" s="285">
        <f>+'B) Reajuste Tarifas y Ocupación'!C14</f>
        <v>88500</v>
      </c>
      <c r="Q27" s="809"/>
    </row>
    <row r="28" spans="1:247" x14ac:dyDescent="0.2">
      <c r="A28" s="819"/>
      <c r="B28" s="812"/>
      <c r="C28" s="262" t="s">
        <v>7</v>
      </c>
      <c r="D28" s="277">
        <f t="shared" si="3"/>
        <v>47</v>
      </c>
      <c r="E28" s="267">
        <f t="shared" si="3"/>
        <v>0</v>
      </c>
      <c r="F28" s="267">
        <f t="shared" si="3"/>
        <v>0</v>
      </c>
      <c r="G28" s="267">
        <f>+L28</f>
        <v>0</v>
      </c>
      <c r="H28" s="278">
        <f>+M28</f>
        <v>0</v>
      </c>
      <c r="I28" s="277">
        <f>+'B) Reajuste Tarifas y Ocupación'!C25</f>
        <v>47</v>
      </c>
      <c r="J28" s="267">
        <f>+'B) Reajuste Tarifas y Ocupación'!D25</f>
        <v>0</v>
      </c>
      <c r="K28" s="267">
        <f>+'B) Reajuste Tarifas y Ocupación'!E25</f>
        <v>0</v>
      </c>
      <c r="L28" s="267">
        <f>+'B) Reajuste Tarifas y Ocupación'!F25</f>
        <v>0</v>
      </c>
      <c r="M28" s="278">
        <f>+'B) Reajuste Tarifas y Ocupación'!G25</f>
        <v>0</v>
      </c>
      <c r="N28" s="282"/>
      <c r="O28" s="266"/>
      <c r="P28" s="286">
        <v>3</v>
      </c>
      <c r="Q28" s="810"/>
    </row>
    <row r="29" spans="1:247" ht="13.5" thickBot="1" x14ac:dyDescent="0.25">
      <c r="A29" s="819"/>
      <c r="B29" s="813"/>
      <c r="C29" s="271" t="s">
        <v>9</v>
      </c>
      <c r="D29" s="279">
        <f>D28*D27</f>
        <v>4159500</v>
      </c>
      <c r="E29" s="272">
        <f>E28*E27</f>
        <v>0</v>
      </c>
      <c r="F29" s="272">
        <f>F28*F27</f>
        <v>0</v>
      </c>
      <c r="G29" s="272">
        <f>G28*G27</f>
        <v>0</v>
      </c>
      <c r="H29" s="280">
        <f>H28*H27</f>
        <v>0</v>
      </c>
      <c r="I29" s="279">
        <f>I28*I27*10</f>
        <v>41595000</v>
      </c>
      <c r="J29" s="272">
        <f>J28*J27*10</f>
        <v>0</v>
      </c>
      <c r="K29" s="272">
        <f>K28*K27*10</f>
        <v>0</v>
      </c>
      <c r="L29" s="272">
        <f>L28*L27*10</f>
        <v>0</v>
      </c>
      <c r="M29" s="280">
        <f>M28*M27*10</f>
        <v>0</v>
      </c>
      <c r="N29" s="307">
        <f>SUM(D29:H29)</f>
        <v>4159500</v>
      </c>
      <c r="O29" s="308">
        <f>SUM(I29:M29)</f>
        <v>41595000</v>
      </c>
      <c r="P29" s="309">
        <f>P28*P27</f>
        <v>265500</v>
      </c>
      <c r="Q29" s="310">
        <f>N29+O29+P29</f>
        <v>46020000</v>
      </c>
    </row>
    <row r="30" spans="1:247" s="10" customFormat="1" ht="15.75" thickBot="1" x14ac:dyDescent="0.25">
      <c r="A30" s="820"/>
      <c r="B30" s="817" t="s">
        <v>10</v>
      </c>
      <c r="C30" s="817"/>
      <c r="D30" s="389">
        <f t="shared" ref="D30:M30" si="4">+D23+D29</f>
        <v>4208900</v>
      </c>
      <c r="E30" s="390">
        <f t="shared" si="4"/>
        <v>0</v>
      </c>
      <c r="F30" s="390">
        <f t="shared" si="4"/>
        <v>0</v>
      </c>
      <c r="G30" s="390">
        <f t="shared" si="4"/>
        <v>0</v>
      </c>
      <c r="H30" s="391">
        <f t="shared" si="4"/>
        <v>0</v>
      </c>
      <c r="I30" s="389">
        <f t="shared" si="4"/>
        <v>42089000</v>
      </c>
      <c r="J30" s="390">
        <f t="shared" si="4"/>
        <v>0</v>
      </c>
      <c r="K30" s="390">
        <f t="shared" si="4"/>
        <v>0</v>
      </c>
      <c r="L30" s="390">
        <f t="shared" si="4"/>
        <v>0</v>
      </c>
      <c r="M30" s="392">
        <f t="shared" si="4"/>
        <v>0</v>
      </c>
      <c r="N30" s="393">
        <f>+N23+N26+N29</f>
        <v>4321700</v>
      </c>
      <c r="O30" s="394">
        <f>+O23+O26+O29</f>
        <v>43217000</v>
      </c>
      <c r="P30" s="395">
        <f>+P23+P26+P29</f>
        <v>265500</v>
      </c>
      <c r="Q30" s="396">
        <f>+Q23+Q26+Q29</f>
        <v>47804200</v>
      </c>
    </row>
    <row r="31" spans="1:247" s="10" customFormat="1" ht="12.75" customHeight="1" x14ac:dyDescent="0.2">
      <c r="A31" s="823" t="str">
        <f>+'B) Reajuste Tarifas y Ocupación'!A15</f>
        <v>Sala Cuna Olitas de Mar</v>
      </c>
      <c r="B31" s="811" t="str">
        <f>+'B) Reajuste Tarifas y Ocupación'!B15</f>
        <v>Diurna</v>
      </c>
      <c r="C31" s="268" t="s">
        <v>238</v>
      </c>
      <c r="D31" s="498"/>
      <c r="E31" s="499">
        <f t="shared" ref="E31:H32" si="5">+J31</f>
        <v>372000</v>
      </c>
      <c r="F31" s="499">
        <f t="shared" si="5"/>
        <v>372000</v>
      </c>
      <c r="G31" s="499">
        <f t="shared" si="5"/>
        <v>387500</v>
      </c>
      <c r="H31" s="500">
        <f>+M31</f>
        <v>465000</v>
      </c>
      <c r="I31" s="511">
        <f>+'B) Reajuste Tarifas y Ocupación'!M15</f>
        <v>310000</v>
      </c>
      <c r="J31" s="499">
        <f>+'B) Reajuste Tarifas y Ocupación'!N15</f>
        <v>372000</v>
      </c>
      <c r="K31" s="499">
        <f>+'B) Reajuste Tarifas y Ocupación'!O15</f>
        <v>372000</v>
      </c>
      <c r="L31" s="499">
        <f>+'B) Reajuste Tarifas y Ocupación'!P15</f>
        <v>387500</v>
      </c>
      <c r="M31" s="512">
        <f>+'B) Reajuste Tarifas y Ocupación'!Q15</f>
        <v>465000</v>
      </c>
      <c r="N31" s="281"/>
      <c r="O31" s="270"/>
      <c r="P31" s="270"/>
      <c r="Q31" s="809"/>
    </row>
    <row r="32" spans="1:247" s="10" customFormat="1" ht="12.75" customHeight="1" x14ac:dyDescent="0.2">
      <c r="A32" s="824"/>
      <c r="B32" s="812"/>
      <c r="C32" s="262" t="s">
        <v>7</v>
      </c>
      <c r="D32" s="501"/>
      <c r="E32" s="502">
        <f t="shared" si="5"/>
        <v>0</v>
      </c>
      <c r="F32" s="502">
        <f t="shared" si="5"/>
        <v>0</v>
      </c>
      <c r="G32" s="502">
        <f t="shared" si="5"/>
        <v>0</v>
      </c>
      <c r="H32" s="503">
        <f t="shared" si="5"/>
        <v>0</v>
      </c>
      <c r="I32" s="513">
        <f>+'B) Reajuste Tarifas y Ocupación'!C26</f>
        <v>14</v>
      </c>
      <c r="J32" s="502">
        <f>+'B) Reajuste Tarifas y Ocupación'!D26</f>
        <v>0</v>
      </c>
      <c r="K32" s="502">
        <f>+'B) Reajuste Tarifas y Ocupación'!E26</f>
        <v>0</v>
      </c>
      <c r="L32" s="502">
        <f>+'B) Reajuste Tarifas y Ocupación'!F26</f>
        <v>0</v>
      </c>
      <c r="M32" s="514">
        <f>+'B) Reajuste Tarifas y Ocupación'!G26</f>
        <v>0</v>
      </c>
      <c r="N32" s="282"/>
      <c r="O32" s="266"/>
      <c r="P32" s="266"/>
      <c r="Q32" s="810"/>
    </row>
    <row r="33" spans="1:17" s="10" customFormat="1" ht="13.5" customHeight="1" thickBot="1" x14ac:dyDescent="0.25">
      <c r="A33" s="824"/>
      <c r="B33" s="813"/>
      <c r="C33" s="271" t="s">
        <v>9</v>
      </c>
      <c r="D33" s="504">
        <f>D32*D31</f>
        <v>0</v>
      </c>
      <c r="E33" s="505">
        <f>E32*E31</f>
        <v>0</v>
      </c>
      <c r="F33" s="505">
        <f>F32*F31</f>
        <v>0</v>
      </c>
      <c r="G33" s="505">
        <f>G32*G31</f>
        <v>0</v>
      </c>
      <c r="H33" s="506">
        <f>H32*H31</f>
        <v>0</v>
      </c>
      <c r="I33" s="504">
        <f>I32*I31*12</f>
        <v>52080000</v>
      </c>
      <c r="J33" s="505">
        <f>J32*J31*12</f>
        <v>0</v>
      </c>
      <c r="K33" s="505">
        <f>K32*K31*12</f>
        <v>0</v>
      </c>
      <c r="L33" s="505">
        <f>L32*L31*12</f>
        <v>0</v>
      </c>
      <c r="M33" s="522">
        <f>M32*M31*12</f>
        <v>0</v>
      </c>
      <c r="N33" s="283">
        <f>SUM(D33:H33)</f>
        <v>0</v>
      </c>
      <c r="O33" s="273">
        <f>SUM(I33:M33)</f>
        <v>52080000</v>
      </c>
      <c r="P33" s="287">
        <f>P32*P31</f>
        <v>0</v>
      </c>
      <c r="Q33" s="288">
        <f>N33+O33+P33</f>
        <v>52080000</v>
      </c>
    </row>
    <row r="34" spans="1:17" s="10" customFormat="1" ht="12.75" customHeight="1" x14ac:dyDescent="0.2">
      <c r="A34" s="824"/>
      <c r="B34" s="811" t="str">
        <f>+'B) Reajuste Tarifas y Ocupación'!B16</f>
        <v>Nocturna</v>
      </c>
      <c r="C34" s="268" t="s">
        <v>238</v>
      </c>
      <c r="D34" s="501"/>
      <c r="E34" s="507"/>
      <c r="F34" s="507"/>
      <c r="G34" s="507"/>
      <c r="H34" s="508"/>
      <c r="I34" s="536"/>
      <c r="J34" s="537"/>
      <c r="K34" s="537"/>
      <c r="L34" s="537"/>
      <c r="M34" s="538"/>
      <c r="N34" s="281"/>
      <c r="O34" s="270"/>
      <c r="P34" s="270"/>
      <c r="Q34" s="809"/>
    </row>
    <row r="35" spans="1:17" s="10" customFormat="1" ht="12.75" customHeight="1" x14ac:dyDescent="0.2">
      <c r="A35" s="824"/>
      <c r="B35" s="812"/>
      <c r="C35" s="262" t="s">
        <v>7</v>
      </c>
      <c r="D35" s="501"/>
      <c r="E35" s="509">
        <f>+J35</f>
        <v>0</v>
      </c>
      <c r="F35" s="509">
        <f>+K35</f>
        <v>0</v>
      </c>
      <c r="G35" s="509">
        <f>+L35</f>
        <v>0</v>
      </c>
      <c r="H35" s="510">
        <f>+M35</f>
        <v>0</v>
      </c>
      <c r="I35" s="520">
        <f>+'[1]B) Reajuste Tarifas y Ocupación'!C27</f>
        <v>0</v>
      </c>
      <c r="J35" s="509">
        <f>+'[1]B) Reajuste Tarifas y Ocupación'!D27</f>
        <v>0</v>
      </c>
      <c r="K35" s="509">
        <f>+'[1]B) Reajuste Tarifas y Ocupación'!E27</f>
        <v>0</v>
      </c>
      <c r="L35" s="509">
        <f>+'[1]B) Reajuste Tarifas y Ocupación'!F27</f>
        <v>0</v>
      </c>
      <c r="M35" s="521">
        <f>+'[1]B) Reajuste Tarifas y Ocupación'!G27</f>
        <v>0</v>
      </c>
      <c r="N35" s="282"/>
      <c r="O35" s="266"/>
      <c r="P35" s="266"/>
      <c r="Q35" s="810"/>
    </row>
    <row r="36" spans="1:17" s="10" customFormat="1" ht="13.5" customHeight="1" thickBot="1" x14ac:dyDescent="0.25">
      <c r="A36" s="824"/>
      <c r="B36" s="813"/>
      <c r="C36" s="271" t="s">
        <v>9</v>
      </c>
      <c r="D36" s="504">
        <f>D35*D34</f>
        <v>0</v>
      </c>
      <c r="E36" s="505">
        <f>E35*E34</f>
        <v>0</v>
      </c>
      <c r="F36" s="505">
        <f>F35*F34</f>
        <v>0</v>
      </c>
      <c r="G36" s="505">
        <f>G35*G34</f>
        <v>0</v>
      </c>
      <c r="H36" s="506">
        <f>H35*H34</f>
        <v>0</v>
      </c>
      <c r="I36" s="515">
        <f>I35*I34*12</f>
        <v>0</v>
      </c>
      <c r="J36" s="516">
        <f>J35*J34*12</f>
        <v>0</v>
      </c>
      <c r="K36" s="516">
        <f>K35*K34*12</f>
        <v>0</v>
      </c>
      <c r="L36" s="516">
        <f>L35*L34*12</f>
        <v>0</v>
      </c>
      <c r="M36" s="517">
        <f>M35*M34*12</f>
        <v>0</v>
      </c>
      <c r="N36" s="283">
        <f>SUM(D36:H36)</f>
        <v>0</v>
      </c>
      <c r="O36" s="273">
        <f>SUM(I36:M36)</f>
        <v>0</v>
      </c>
      <c r="P36" s="287">
        <f>P35*P34</f>
        <v>0</v>
      </c>
      <c r="Q36" s="288">
        <f>N36+O36+P36</f>
        <v>0</v>
      </c>
    </row>
    <row r="37" spans="1:17" s="10" customFormat="1" ht="12.75" customHeight="1" x14ac:dyDescent="0.2">
      <c r="A37" s="824"/>
      <c r="B37" s="811" t="str">
        <f>+'B) Reajuste Tarifas y Ocupación'!B17</f>
        <v>Media Jornada</v>
      </c>
      <c r="C37" s="268" t="s">
        <v>238</v>
      </c>
      <c r="D37" s="501"/>
      <c r="E37" s="499">
        <f t="shared" ref="E37:H38" si="6">+J37</f>
        <v>0</v>
      </c>
      <c r="F37" s="499">
        <f t="shared" si="6"/>
        <v>0</v>
      </c>
      <c r="G37" s="499">
        <f t="shared" si="6"/>
        <v>0</v>
      </c>
      <c r="H37" s="500">
        <f>+M37</f>
        <v>0</v>
      </c>
      <c r="I37" s="511">
        <f>+'B) Reajuste Tarifas y Ocupación'!M17</f>
        <v>0</v>
      </c>
      <c r="J37" s="499">
        <f>+'B) Reajuste Tarifas y Ocupación'!N17</f>
        <v>0</v>
      </c>
      <c r="K37" s="499">
        <f>+'B) Reajuste Tarifas y Ocupación'!O17</f>
        <v>0</v>
      </c>
      <c r="L37" s="499">
        <f>+'B) Reajuste Tarifas y Ocupación'!P17</f>
        <v>0</v>
      </c>
      <c r="M37" s="512">
        <f>+'B) Reajuste Tarifas y Ocupación'!Q17</f>
        <v>0</v>
      </c>
      <c r="N37" s="435"/>
      <c r="O37" s="437"/>
      <c r="P37" s="437"/>
      <c r="Q37" s="809"/>
    </row>
    <row r="38" spans="1:17" s="10" customFormat="1" ht="12.75" customHeight="1" x14ac:dyDescent="0.2">
      <c r="A38" s="824"/>
      <c r="B38" s="812"/>
      <c r="C38" s="262" t="s">
        <v>7</v>
      </c>
      <c r="D38" s="501"/>
      <c r="E38" s="502">
        <f t="shared" si="6"/>
        <v>0</v>
      </c>
      <c r="F38" s="502">
        <f t="shared" si="6"/>
        <v>0</v>
      </c>
      <c r="G38" s="502">
        <f t="shared" si="6"/>
        <v>0</v>
      </c>
      <c r="H38" s="503">
        <f t="shared" si="6"/>
        <v>0</v>
      </c>
      <c r="I38" s="513">
        <f>+'B) Reajuste Tarifas y Ocupación'!C28</f>
        <v>0</v>
      </c>
      <c r="J38" s="502">
        <f>+'B) Reajuste Tarifas y Ocupación'!D28</f>
        <v>0</v>
      </c>
      <c r="K38" s="502">
        <f>+'B) Reajuste Tarifas y Ocupación'!E28</f>
        <v>0</v>
      </c>
      <c r="L38" s="502">
        <f>+'B) Reajuste Tarifas y Ocupación'!F28</f>
        <v>0</v>
      </c>
      <c r="M38" s="514">
        <f>+'B) Reajuste Tarifas y Ocupación'!G28</f>
        <v>0</v>
      </c>
      <c r="N38" s="440"/>
      <c r="O38" s="439"/>
      <c r="P38" s="439"/>
      <c r="Q38" s="810"/>
    </row>
    <row r="39" spans="1:17" s="10" customFormat="1" ht="13.5" customHeight="1" thickBot="1" x14ac:dyDescent="0.25">
      <c r="A39" s="824"/>
      <c r="B39" s="813"/>
      <c r="C39" s="271" t="s">
        <v>9</v>
      </c>
      <c r="D39" s="504">
        <f>D38*D37</f>
        <v>0</v>
      </c>
      <c r="E39" s="505">
        <f>E38*E37</f>
        <v>0</v>
      </c>
      <c r="F39" s="505">
        <f>F38*F37</f>
        <v>0</v>
      </c>
      <c r="G39" s="505">
        <f>G38*G37</f>
        <v>0</v>
      </c>
      <c r="H39" s="506">
        <f>H38*H37</f>
        <v>0</v>
      </c>
      <c r="I39" s="504">
        <f>I38*I37*12</f>
        <v>0</v>
      </c>
      <c r="J39" s="505">
        <f>J38*J37*12</f>
        <v>0</v>
      </c>
      <c r="K39" s="505">
        <f>K38*K37*12</f>
        <v>0</v>
      </c>
      <c r="L39" s="505">
        <f>L38*L37*12</f>
        <v>0</v>
      </c>
      <c r="M39" s="522">
        <f>M38*M37*12</f>
        <v>0</v>
      </c>
      <c r="N39" s="283">
        <f>SUM(D39:H39)</f>
        <v>0</v>
      </c>
      <c r="O39" s="273">
        <f>SUM(I39:M39)</f>
        <v>0</v>
      </c>
      <c r="P39" s="272">
        <f>P38*P37</f>
        <v>0</v>
      </c>
      <c r="Q39" s="438">
        <f>N39+O39+P39</f>
        <v>0</v>
      </c>
    </row>
    <row r="40" spans="1:17" s="10" customFormat="1" ht="15.75" customHeight="1" thickBot="1" x14ac:dyDescent="0.25">
      <c r="A40" s="825"/>
      <c r="B40" s="817" t="s">
        <v>10</v>
      </c>
      <c r="C40" s="817"/>
      <c r="D40" s="389">
        <f>+D33+D39+D36</f>
        <v>0</v>
      </c>
      <c r="E40" s="389">
        <f t="shared" ref="E40:P40" si="7">+E33+E39+E36</f>
        <v>0</v>
      </c>
      <c r="F40" s="389">
        <f>+F33+F39+F36</f>
        <v>0</v>
      </c>
      <c r="G40" s="389">
        <f t="shared" si="7"/>
        <v>0</v>
      </c>
      <c r="H40" s="389">
        <f t="shared" si="7"/>
        <v>0</v>
      </c>
      <c r="I40" s="389">
        <f>+I33+I39+I36</f>
        <v>52080000</v>
      </c>
      <c r="J40" s="389">
        <f>+J33+J39+J36</f>
        <v>0</v>
      </c>
      <c r="K40" s="389">
        <f t="shared" si="7"/>
        <v>0</v>
      </c>
      <c r="L40" s="389">
        <f t="shared" si="7"/>
        <v>0</v>
      </c>
      <c r="M40" s="389">
        <f>+M33+M39+M36</f>
        <v>0</v>
      </c>
      <c r="N40" s="389">
        <f t="shared" si="7"/>
        <v>0</v>
      </c>
      <c r="O40" s="389">
        <f t="shared" si="7"/>
        <v>52080000</v>
      </c>
      <c r="P40" s="389">
        <f t="shared" si="7"/>
        <v>0</v>
      </c>
      <c r="Q40" s="389">
        <f>+Q33+Q39+Q36</f>
        <v>52080000</v>
      </c>
    </row>
    <row r="41" spans="1:17" ht="15" customHeight="1" thickBot="1" x14ac:dyDescent="0.25">
      <c r="A41" s="821" t="s">
        <v>8</v>
      </c>
      <c r="B41" s="822"/>
      <c r="C41" s="822"/>
      <c r="D41" s="397">
        <f>+D30+D40</f>
        <v>4208900</v>
      </c>
      <c r="E41" s="397">
        <f t="shared" ref="E41:Q41" si="8">+E30+E40</f>
        <v>0</v>
      </c>
      <c r="F41" s="397">
        <f t="shared" si="8"/>
        <v>0</v>
      </c>
      <c r="G41" s="397">
        <f t="shared" si="8"/>
        <v>0</v>
      </c>
      <c r="H41" s="397">
        <f t="shared" si="8"/>
        <v>0</v>
      </c>
      <c r="I41" s="397">
        <f t="shared" si="8"/>
        <v>94169000</v>
      </c>
      <c r="J41" s="397">
        <f t="shared" si="8"/>
        <v>0</v>
      </c>
      <c r="K41" s="397">
        <f t="shared" si="8"/>
        <v>0</v>
      </c>
      <c r="L41" s="397">
        <f t="shared" si="8"/>
        <v>0</v>
      </c>
      <c r="M41" s="397">
        <f t="shared" si="8"/>
        <v>0</v>
      </c>
      <c r="N41" s="397">
        <f t="shared" si="8"/>
        <v>4321700</v>
      </c>
      <c r="O41" s="397">
        <f t="shared" si="8"/>
        <v>95297000</v>
      </c>
      <c r="P41" s="397">
        <f t="shared" si="8"/>
        <v>265500</v>
      </c>
      <c r="Q41" s="397">
        <f t="shared" si="8"/>
        <v>99884200</v>
      </c>
    </row>
  </sheetData>
  <mergeCells count="30">
    <mergeCell ref="Q27:Q28"/>
    <mergeCell ref="C4:D4"/>
    <mergeCell ref="E4:G4"/>
    <mergeCell ref="C19:C20"/>
    <mergeCell ref="D19:H19"/>
    <mergeCell ref="I19:M19"/>
    <mergeCell ref="Q24:Q25"/>
    <mergeCell ref="P19:P20"/>
    <mergeCell ref="N19:N20"/>
    <mergeCell ref="O19:O20"/>
    <mergeCell ref="Q19:Q20"/>
    <mergeCell ref="Q21:Q22"/>
    <mergeCell ref="A6:D6"/>
    <mergeCell ref="A17:D17"/>
    <mergeCell ref="A19:A20"/>
    <mergeCell ref="B19:B20"/>
    <mergeCell ref="B24:B26"/>
    <mergeCell ref="B30:C30"/>
    <mergeCell ref="A21:A30"/>
    <mergeCell ref="B21:B23"/>
    <mergeCell ref="A41:C41"/>
    <mergeCell ref="B27:B29"/>
    <mergeCell ref="A31:A40"/>
    <mergeCell ref="B31:B33"/>
    <mergeCell ref="B40:C40"/>
    <mergeCell ref="Q31:Q32"/>
    <mergeCell ref="B34:B36"/>
    <mergeCell ref="Q34:Q35"/>
    <mergeCell ref="B37:B39"/>
    <mergeCell ref="Q37:Q38"/>
  </mergeCells>
  <phoneticPr fontId="32" type="noConversion"/>
  <conditionalFormatting sqref="D14:N16 C13:N13 E17:N17 B9:I9 B12:I12 B10:C11 E10:I11">
    <cfRule type="cellIs" dxfId="3" priority="8" stopIfTrue="1" operator="lessThan">
      <formula>0</formula>
    </cfRule>
  </conditionalFormatting>
  <conditionalFormatting sqref="D10:D11">
    <cfRule type="cellIs" dxfId="2" priority="1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2:H22 D21:H21 J21 D27:Q27 I23:Q23 J22:O22 L21:Q21 Q22 D29:Q29 D28:O28 Q28 D30:M30" unlockedFormula="1"/>
    <ignoredError sqref="F23:H23" formula="1" unlockedFormula="1"/>
    <ignoredError sqref="D23:E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8"/>
  <sheetViews>
    <sheetView showGridLines="0" tabSelected="1" showRuler="0" topLeftCell="A11" zoomScale="80" zoomScaleNormal="80" workbookViewId="0">
      <selection activeCell="A10" sqref="A10:A11"/>
    </sheetView>
  </sheetViews>
  <sheetFormatPr baseColWidth="10" defaultColWidth="11.42578125" defaultRowHeight="12.75" x14ac:dyDescent="0.2"/>
  <cols>
    <col min="1" max="1" width="56.5703125" style="42" customWidth="1"/>
    <col min="2" max="2" width="33.85546875" style="29" customWidth="1"/>
    <col min="3" max="3" width="12.28515625" style="42" customWidth="1"/>
    <col min="4" max="4" width="13.7109375" style="42" bestFit="1" customWidth="1"/>
    <col min="5" max="5" width="15.5703125" style="42" bestFit="1" customWidth="1"/>
    <col min="6" max="6" width="14.5703125" style="42" customWidth="1"/>
    <col min="7" max="7" width="14.85546875" style="42" customWidth="1"/>
    <col min="8" max="8" width="11.85546875" style="42" bestFit="1" customWidth="1"/>
    <col min="9" max="9" width="14.5703125" style="42" bestFit="1" customWidth="1"/>
    <col min="10" max="10" width="14.5703125" style="42" customWidth="1"/>
    <col min="11" max="12" width="11.85546875" style="42" customWidth="1"/>
    <col min="13" max="13" width="14" style="42" customWidth="1"/>
    <col min="14" max="15" width="14.5703125" style="42" customWidth="1"/>
    <col min="16" max="17" width="11.85546875" style="42" customWidth="1"/>
    <col min="18" max="18" width="11.85546875" style="29" customWidth="1"/>
    <col min="19" max="19" width="32.7109375" style="42" customWidth="1"/>
    <col min="20" max="20" width="33" style="29" bestFit="1" customWidth="1"/>
    <col min="21" max="21" width="13.85546875" style="42" customWidth="1"/>
    <col min="22" max="22" width="14.5703125" style="42" bestFit="1" customWidth="1"/>
    <col min="23" max="23" width="14.5703125" style="42" customWidth="1"/>
    <col min="24" max="24" width="12.85546875" style="42" bestFit="1" customWidth="1"/>
    <col min="25" max="16384" width="11.42578125" style="42"/>
  </cols>
  <sheetData>
    <row r="1" spans="1:256" s="6" customFormat="1" x14ac:dyDescent="0.2">
      <c r="A1" s="5"/>
      <c r="C1" s="7"/>
      <c r="D1" s="7"/>
      <c r="E1" s="7"/>
      <c r="F1" s="41" t="s">
        <v>205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1" t="s">
        <v>198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2"/>
      <c r="B4" s="2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4"/>
      <c r="S4" s="22"/>
      <c r="T4" s="23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2"/>
      <c r="B5" s="23"/>
      <c r="C5" s="826" t="s">
        <v>0</v>
      </c>
      <c r="D5" s="883"/>
      <c r="E5" s="104"/>
      <c r="F5" s="857" t="s">
        <v>123</v>
      </c>
      <c r="G5" s="858"/>
      <c r="R5" s="14"/>
      <c r="S5" s="22"/>
      <c r="T5" s="23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2"/>
      <c r="B6" s="23"/>
      <c r="C6" s="104"/>
      <c r="D6" s="104"/>
      <c r="E6" s="104"/>
      <c r="F6" s="107"/>
      <c r="G6" s="107"/>
      <c r="R6" s="14"/>
      <c r="S6" s="22"/>
      <c r="T6" s="23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2"/>
      <c r="B7" s="23"/>
      <c r="C7" s="104"/>
      <c r="D7" s="104"/>
      <c r="E7" s="104"/>
      <c r="F7" s="107"/>
      <c r="G7" s="107"/>
      <c r="R7" s="14"/>
      <c r="S7" s="22"/>
      <c r="T7" s="23"/>
      <c r="V7" s="48"/>
      <c r="W7" s="48"/>
      <c r="IL7" s="4"/>
      <c r="IM7" s="4"/>
      <c r="IN7" s="4"/>
      <c r="IO7" s="4"/>
      <c r="IP7" s="4"/>
      <c r="IQ7" s="4"/>
    </row>
    <row r="8" spans="1:256" s="14" customFormat="1" ht="15.75" x14ac:dyDescent="0.2">
      <c r="A8" s="867" t="s">
        <v>152</v>
      </c>
      <c r="B8" s="867"/>
      <c r="C8" s="867"/>
      <c r="D8" s="867"/>
      <c r="E8" s="105"/>
      <c r="F8" s="107"/>
      <c r="G8" s="107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868" t="s">
        <v>136</v>
      </c>
      <c r="B10" s="862" t="s">
        <v>5</v>
      </c>
      <c r="C10" s="864" t="s">
        <v>141</v>
      </c>
      <c r="D10" s="865"/>
      <c r="E10" s="865"/>
      <c r="F10" s="865"/>
      <c r="G10" s="866"/>
      <c r="H10" s="880" t="s">
        <v>108</v>
      </c>
      <c r="I10" s="881"/>
      <c r="J10" s="881"/>
      <c r="K10" s="881"/>
      <c r="L10" s="882"/>
      <c r="M10" s="877" t="s">
        <v>235</v>
      </c>
      <c r="N10" s="878"/>
      <c r="O10" s="878"/>
      <c r="P10" s="878"/>
      <c r="Q10" s="879"/>
      <c r="R10" s="17"/>
    </row>
    <row r="11" spans="1:256" ht="64.5" thickBot="1" x14ac:dyDescent="0.25">
      <c r="A11" s="869"/>
      <c r="B11" s="863"/>
      <c r="C11" s="84" t="s">
        <v>86</v>
      </c>
      <c r="D11" s="85" t="s">
        <v>139</v>
      </c>
      <c r="E11" s="85" t="s">
        <v>140</v>
      </c>
      <c r="F11" s="85" t="s">
        <v>87</v>
      </c>
      <c r="G11" s="91" t="s">
        <v>88</v>
      </c>
      <c r="H11" s="92" t="s">
        <v>86</v>
      </c>
      <c r="I11" s="93" t="s">
        <v>139</v>
      </c>
      <c r="J11" s="93" t="s">
        <v>140</v>
      </c>
      <c r="K11" s="94" t="s">
        <v>87</v>
      </c>
      <c r="L11" s="95" t="s">
        <v>88</v>
      </c>
      <c r="M11" s="87" t="s">
        <v>86</v>
      </c>
      <c r="N11" s="88" t="s">
        <v>139</v>
      </c>
      <c r="O11" s="88" t="s">
        <v>140</v>
      </c>
      <c r="P11" s="88" t="s">
        <v>87</v>
      </c>
      <c r="Q11" s="89" t="s">
        <v>88</v>
      </c>
      <c r="R11" s="17"/>
    </row>
    <row r="12" spans="1:256" ht="13.5" customHeight="1" x14ac:dyDescent="0.2">
      <c r="A12" s="874" t="s">
        <v>214</v>
      </c>
      <c r="B12" s="160" t="s">
        <v>127</v>
      </c>
      <c r="C12" s="161">
        <v>49400</v>
      </c>
      <c r="D12" s="161">
        <v>59200</v>
      </c>
      <c r="E12" s="161">
        <v>59200</v>
      </c>
      <c r="F12" s="161">
        <v>74800</v>
      </c>
      <c r="G12" s="162">
        <v>120100</v>
      </c>
      <c r="H12" s="96">
        <v>0</v>
      </c>
      <c r="I12" s="316">
        <f>+H12</f>
        <v>0</v>
      </c>
      <c r="J12" s="316">
        <f>+H12</f>
        <v>0</v>
      </c>
      <c r="K12" s="316">
        <f>+H12</f>
        <v>0</v>
      </c>
      <c r="L12" s="166">
        <f>+H12</f>
        <v>0</v>
      </c>
      <c r="M12" s="90">
        <f>CEILING(C12*(1+H12),100)</f>
        <v>49400</v>
      </c>
      <c r="N12" s="323">
        <f>+CEILING(C12*(1.2)*(1+I12),100)</f>
        <v>59300</v>
      </c>
      <c r="O12" s="323">
        <f>+CEILING(C12*(1.2)*(1+J12),100)</f>
        <v>59300</v>
      </c>
      <c r="P12" s="323">
        <f t="shared" ref="P12:Q14" si="0">+CEILING(F12*(1+K12),100)</f>
        <v>74800</v>
      </c>
      <c r="Q12" s="254">
        <f t="shared" si="0"/>
        <v>120100</v>
      </c>
      <c r="R12" s="67"/>
    </row>
    <row r="13" spans="1:256" ht="13.5" customHeight="1" x14ac:dyDescent="0.2">
      <c r="A13" s="875"/>
      <c r="B13" s="258" t="s">
        <v>211</v>
      </c>
      <c r="C13" s="259">
        <v>56400</v>
      </c>
      <c r="D13" s="259">
        <v>67700</v>
      </c>
      <c r="E13" s="259">
        <v>67700</v>
      </c>
      <c r="F13" s="259">
        <v>107000</v>
      </c>
      <c r="G13" s="260">
        <v>159400</v>
      </c>
      <c r="H13" s="317">
        <v>0</v>
      </c>
      <c r="I13" s="315">
        <f>+H13</f>
        <v>0</v>
      </c>
      <c r="J13" s="315">
        <f>+H13</f>
        <v>0</v>
      </c>
      <c r="K13" s="315">
        <f>+H13</f>
        <v>0</v>
      </c>
      <c r="L13" s="320">
        <f>+H13</f>
        <v>0</v>
      </c>
      <c r="M13" s="324">
        <f>CEILING(C13*(1+H13),100)</f>
        <v>56400</v>
      </c>
      <c r="N13" s="322">
        <f>+CEILING(C13*(1.2)*(1+I13),100)</f>
        <v>67700</v>
      </c>
      <c r="O13" s="322">
        <f>+CEILING(C13*(1.2)*(1+J13),100)</f>
        <v>67700</v>
      </c>
      <c r="P13" s="322">
        <f t="shared" si="0"/>
        <v>107000</v>
      </c>
      <c r="Q13" s="325">
        <f t="shared" si="0"/>
        <v>159400</v>
      </c>
      <c r="R13" s="67"/>
    </row>
    <row r="14" spans="1:256" ht="13.5" customHeight="1" thickBot="1" x14ac:dyDescent="0.25">
      <c r="A14" s="876"/>
      <c r="B14" s="163" t="s">
        <v>212</v>
      </c>
      <c r="C14" s="164">
        <v>88500</v>
      </c>
      <c r="D14" s="164">
        <v>106200</v>
      </c>
      <c r="E14" s="164">
        <v>106200</v>
      </c>
      <c r="F14" s="164">
        <v>137000</v>
      </c>
      <c r="G14" s="165">
        <v>220300</v>
      </c>
      <c r="H14" s="318">
        <v>0</v>
      </c>
      <c r="I14" s="319">
        <f>+H14</f>
        <v>0</v>
      </c>
      <c r="J14" s="319">
        <f>+H14</f>
        <v>0</v>
      </c>
      <c r="K14" s="319">
        <f>+H14</f>
        <v>0</v>
      </c>
      <c r="L14" s="321">
        <f>+H14</f>
        <v>0</v>
      </c>
      <c r="M14" s="429">
        <f>CEILING(C14*(1+H14),100)</f>
        <v>88500</v>
      </c>
      <c r="N14" s="428">
        <f>+CEILING(C14*(1.2)*(1+I14),100)</f>
        <v>106200</v>
      </c>
      <c r="O14" s="428">
        <f>+CEILING(C14*(1.2)*(1+J14),100)</f>
        <v>106200</v>
      </c>
      <c r="P14" s="428">
        <f t="shared" si="0"/>
        <v>137000</v>
      </c>
      <c r="Q14" s="430">
        <f t="shared" si="0"/>
        <v>220300</v>
      </c>
    </row>
    <row r="15" spans="1:256" ht="12.75" customHeight="1" x14ac:dyDescent="0.2">
      <c r="A15" s="874" t="s">
        <v>229</v>
      </c>
      <c r="B15" s="160" t="s">
        <v>232</v>
      </c>
      <c r="C15" s="518"/>
      <c r="D15" s="518"/>
      <c r="E15" s="518"/>
      <c r="F15" s="518"/>
      <c r="G15" s="523"/>
      <c r="H15" s="498"/>
      <c r="I15" s="518"/>
      <c r="J15" s="518"/>
      <c r="K15" s="518"/>
      <c r="L15" s="519"/>
      <c r="M15" s="794">
        <v>310000</v>
      </c>
      <c r="N15" s="795">
        <f>+M15*1.2</f>
        <v>372000</v>
      </c>
      <c r="O15" s="795">
        <f>+M15*1.2</f>
        <v>372000</v>
      </c>
      <c r="P15" s="795">
        <f>+M15*1.25</f>
        <v>387500</v>
      </c>
      <c r="Q15" s="796">
        <f>+M15*1.5</f>
        <v>465000</v>
      </c>
      <c r="R15" s="42"/>
    </row>
    <row r="16" spans="1:256" x14ac:dyDescent="0.2">
      <c r="A16" s="875"/>
      <c r="B16" s="258" t="s">
        <v>231</v>
      </c>
      <c r="C16" s="507"/>
      <c r="D16" s="507"/>
      <c r="E16" s="507"/>
      <c r="F16" s="507"/>
      <c r="G16" s="508"/>
      <c r="H16" s="501"/>
      <c r="I16" s="507"/>
      <c r="J16" s="507"/>
      <c r="K16" s="507"/>
      <c r="L16" s="524"/>
      <c r="M16" s="797"/>
      <c r="N16" s="798"/>
      <c r="O16" s="798"/>
      <c r="P16" s="798"/>
      <c r="Q16" s="799"/>
    </row>
    <row r="17" spans="1:17" ht="13.5" thickBot="1" x14ac:dyDescent="0.25">
      <c r="A17" s="876"/>
      <c r="B17" s="163" t="s">
        <v>230</v>
      </c>
      <c r="C17" s="525"/>
      <c r="D17" s="525"/>
      <c r="E17" s="525"/>
      <c r="F17" s="525"/>
      <c r="G17" s="526"/>
      <c r="H17" s="527"/>
      <c r="I17" s="525"/>
      <c r="J17" s="525"/>
      <c r="K17" s="525"/>
      <c r="L17" s="528"/>
      <c r="M17" s="800">
        <v>0</v>
      </c>
      <c r="N17" s="801">
        <f>+CEILING(M17*(1.2),100)</f>
        <v>0</v>
      </c>
      <c r="O17" s="801">
        <f>+CEILING(M17*(1.2),100)</f>
        <v>0</v>
      </c>
      <c r="P17" s="801">
        <f>+CEILING(M17*(1.25),100)</f>
        <v>0</v>
      </c>
      <c r="Q17" s="802">
        <f>+CEILING(M17*(1.3),100)</f>
        <v>0</v>
      </c>
    </row>
    <row r="18" spans="1:17" x14ac:dyDescent="0.2">
      <c r="D18" s="167"/>
    </row>
    <row r="19" spans="1:17" ht="15.75" x14ac:dyDescent="0.2">
      <c r="A19" s="867" t="s">
        <v>153</v>
      </c>
      <c r="B19" s="867"/>
      <c r="C19" s="867"/>
      <c r="D19" s="867"/>
      <c r="E19" s="867"/>
      <c r="F19" s="867"/>
      <c r="G19" s="14"/>
      <c r="H19" s="14"/>
    </row>
    <row r="20" spans="1:17" ht="13.5" thickBot="1" x14ac:dyDescent="0.25"/>
    <row r="21" spans="1:17" ht="16.5" thickBot="1" x14ac:dyDescent="0.25">
      <c r="A21" s="872" t="s">
        <v>136</v>
      </c>
      <c r="B21" s="870" t="s">
        <v>5</v>
      </c>
      <c r="C21" s="859" t="s">
        <v>233</v>
      </c>
      <c r="D21" s="860"/>
      <c r="E21" s="860"/>
      <c r="F21" s="860"/>
      <c r="G21" s="860"/>
      <c r="H21" s="861"/>
    </row>
    <row r="22" spans="1:17" ht="64.5" thickBot="1" x14ac:dyDescent="0.25">
      <c r="A22" s="873"/>
      <c r="B22" s="871"/>
      <c r="C22" s="97" t="s">
        <v>86</v>
      </c>
      <c r="D22" s="98" t="s">
        <v>139</v>
      </c>
      <c r="E22" s="98" t="s">
        <v>140</v>
      </c>
      <c r="F22" s="98" t="s">
        <v>87</v>
      </c>
      <c r="G22" s="99" t="s">
        <v>88</v>
      </c>
      <c r="H22" s="100" t="s">
        <v>135</v>
      </c>
    </row>
    <row r="23" spans="1:17" ht="20.100000000000001" customHeight="1" x14ac:dyDescent="0.2">
      <c r="A23" s="854" t="str">
        <f>+A12</f>
        <v>Jardín Infantil Olitas de Mar</v>
      </c>
      <c r="B23" s="312" t="str">
        <f>+B12</f>
        <v>Media jornada</v>
      </c>
      <c r="C23" s="529">
        <v>1</v>
      </c>
      <c r="D23" s="530"/>
      <c r="E23" s="530"/>
      <c r="F23" s="530"/>
      <c r="G23" s="530"/>
      <c r="H23" s="531">
        <f>SUM(C23:G23)</f>
        <v>1</v>
      </c>
    </row>
    <row r="24" spans="1:17" ht="20.100000000000001" customHeight="1" x14ac:dyDescent="0.2">
      <c r="A24" s="855"/>
      <c r="B24" s="313" t="str">
        <f>+B13</f>
        <v>Media jornada Extendida</v>
      </c>
      <c r="C24" s="532">
        <v>2</v>
      </c>
      <c r="D24" s="261"/>
      <c r="E24" s="261"/>
      <c r="F24" s="261"/>
      <c r="G24" s="261"/>
      <c r="H24" s="431">
        <f>SUM(C24:G24)</f>
        <v>2</v>
      </c>
    </row>
    <row r="25" spans="1:17" ht="20.100000000000001" customHeight="1" thickBot="1" x14ac:dyDescent="0.25">
      <c r="A25" s="856"/>
      <c r="B25" s="433" t="str">
        <f>+B14</f>
        <v>Jornada Completa</v>
      </c>
      <c r="C25" s="311">
        <v>47</v>
      </c>
      <c r="D25" s="159"/>
      <c r="E25" s="159"/>
      <c r="F25" s="159"/>
      <c r="G25" s="159"/>
      <c r="H25" s="432">
        <f>SUM(C25:G25)</f>
        <v>47</v>
      </c>
    </row>
    <row r="26" spans="1:17" ht="19.5" customHeight="1" x14ac:dyDescent="0.2">
      <c r="A26" s="851" t="str">
        <f>+A15</f>
        <v>Sala Cuna Olitas de Mar</v>
      </c>
      <c r="B26" s="312" t="str">
        <f>+B15</f>
        <v>Diurna</v>
      </c>
      <c r="C26" s="529">
        <v>14</v>
      </c>
      <c r="D26" s="530"/>
      <c r="E26" s="530"/>
      <c r="F26" s="530"/>
      <c r="G26" s="530"/>
      <c r="H26" s="531">
        <f>SUM(C26:G26)</f>
        <v>14</v>
      </c>
    </row>
    <row r="27" spans="1:17" ht="19.5" customHeight="1" x14ac:dyDescent="0.2">
      <c r="A27" s="852"/>
      <c r="B27" s="313" t="str">
        <f>+B16</f>
        <v>Nocturna</v>
      </c>
      <c r="C27" s="533"/>
      <c r="D27" s="534"/>
      <c r="E27" s="534"/>
      <c r="F27" s="534"/>
      <c r="G27" s="534"/>
      <c r="H27" s="535"/>
    </row>
    <row r="28" spans="1:17" ht="19.5" customHeight="1" thickBot="1" x14ac:dyDescent="0.25">
      <c r="A28" s="853"/>
      <c r="B28" s="314" t="str">
        <f>+B17</f>
        <v>Media Jornada</v>
      </c>
      <c r="C28" s="311"/>
      <c r="D28" s="159"/>
      <c r="E28" s="159"/>
      <c r="F28" s="159"/>
      <c r="G28" s="159"/>
      <c r="H28" s="432">
        <f>SUM(C28:G28)</f>
        <v>0</v>
      </c>
    </row>
  </sheetData>
  <mergeCells count="16">
    <mergeCell ref="M10:Q10"/>
    <mergeCell ref="A19:F19"/>
    <mergeCell ref="H10:L10"/>
    <mergeCell ref="A12:A14"/>
    <mergeCell ref="C5:D5"/>
    <mergeCell ref="A26:A28"/>
    <mergeCell ref="A23:A25"/>
    <mergeCell ref="F5:G5"/>
    <mergeCell ref="C21:H21"/>
    <mergeCell ref="B10:B11"/>
    <mergeCell ref="C10:G10"/>
    <mergeCell ref="A8:D8"/>
    <mergeCell ref="A10:A11"/>
    <mergeCell ref="B21:B22"/>
    <mergeCell ref="A21:A22"/>
    <mergeCell ref="A15:A17"/>
  </mergeCells>
  <pageMargins left="0.7" right="0.7" top="0.75" bottom="0.75" header="0.3" footer="0.3"/>
  <pageSetup paperSize="9" orientation="portrait" r:id="rId1"/>
  <ignoredErrors>
    <ignoredError sqref="K14:L14 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O207"/>
  <sheetViews>
    <sheetView showGridLines="0" zoomScale="80" zoomScaleNormal="80" workbookViewId="0">
      <selection activeCell="M19" sqref="M19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4" customWidth="1"/>
    <col min="7" max="7" width="14.28515625" style="6" customWidth="1"/>
    <col min="8" max="8" width="23" style="6" customWidth="1"/>
    <col min="9" max="9" width="15.7109375" style="4" bestFit="1" customWidth="1"/>
    <col min="10" max="10" width="12.140625" style="4" bestFit="1" customWidth="1"/>
    <col min="11" max="11" width="14.42578125" style="4" customWidth="1"/>
    <col min="12" max="12" width="92.85546875" style="4" bestFit="1" customWidth="1"/>
    <col min="13" max="13" width="13.7109375" style="447" customWidth="1"/>
    <col min="14" max="14" width="12.85546875" style="447" bestFit="1" customWidth="1"/>
    <col min="15" max="15" width="11.42578125" style="447"/>
    <col min="16" max="16384" width="11.42578125" style="4"/>
  </cols>
  <sheetData>
    <row r="1" spans="1:15" x14ac:dyDescent="0.2">
      <c r="C1" s="41"/>
      <c r="D1" s="41" t="s">
        <v>206</v>
      </c>
      <c r="E1" s="41"/>
      <c r="F1" s="41"/>
      <c r="G1" s="41"/>
      <c r="H1" s="41"/>
    </row>
    <row r="2" spans="1:15" x14ac:dyDescent="0.2">
      <c r="C2" s="41"/>
      <c r="D2" s="41" t="s">
        <v>215</v>
      </c>
      <c r="E2" s="41"/>
      <c r="F2" s="41"/>
      <c r="G2" s="41"/>
      <c r="H2" s="41"/>
    </row>
    <row r="3" spans="1:15" x14ac:dyDescent="0.2">
      <c r="C3" s="41"/>
      <c r="E3" s="41"/>
      <c r="F3" s="41"/>
      <c r="G3" s="41"/>
      <c r="H3" s="41"/>
    </row>
    <row r="4" spans="1:15" ht="19.5" customHeight="1" x14ac:dyDescent="0.2">
      <c r="C4" s="244" t="s">
        <v>0</v>
      </c>
      <c r="D4" s="898" t="s">
        <v>154</v>
      </c>
      <c r="E4" s="899"/>
      <c r="F4" s="41"/>
      <c r="G4" s="41"/>
      <c r="H4" s="41"/>
    </row>
    <row r="5" spans="1:15" x14ac:dyDescent="0.2">
      <c r="B5" s="41"/>
      <c r="C5" s="245"/>
      <c r="D5" s="41"/>
      <c r="E5" s="41"/>
      <c r="F5" s="41"/>
      <c r="G5" s="41"/>
      <c r="H5" s="41"/>
    </row>
    <row r="6" spans="1:15" x14ac:dyDescent="0.2">
      <c r="B6" s="41"/>
      <c r="C6" s="245"/>
      <c r="D6" s="41"/>
      <c r="E6" s="41"/>
      <c r="F6" s="41"/>
      <c r="G6" s="41"/>
      <c r="H6" s="41"/>
    </row>
    <row r="7" spans="1:15" x14ac:dyDescent="0.2">
      <c r="C7" s="6"/>
    </row>
    <row r="8" spans="1:15" ht="15.75" x14ac:dyDescent="0.2">
      <c r="A8" s="867" t="s">
        <v>155</v>
      </c>
      <c r="B8" s="867"/>
      <c r="C8" s="867"/>
      <c r="D8" s="245"/>
      <c r="G8" s="4"/>
    </row>
    <row r="10" spans="1:15" ht="12.75" customHeight="1" x14ac:dyDescent="0.2">
      <c r="A10" s="884" t="s">
        <v>113</v>
      </c>
      <c r="B10" s="888" t="s">
        <v>75</v>
      </c>
      <c r="C10" s="886" t="s">
        <v>76</v>
      </c>
      <c r="D10" s="901" t="s">
        <v>77</v>
      </c>
      <c r="E10" s="900" t="s">
        <v>78</v>
      </c>
      <c r="F10" s="900"/>
      <c r="G10" s="900"/>
      <c r="H10" s="902" t="s">
        <v>245</v>
      </c>
      <c r="L10" s="894" t="s">
        <v>241</v>
      </c>
      <c r="M10" s="896" t="s">
        <v>240</v>
      </c>
      <c r="N10" s="896" t="s">
        <v>242</v>
      </c>
      <c r="O10" s="896" t="s">
        <v>243</v>
      </c>
    </row>
    <row r="11" spans="1:15" ht="39" customHeight="1" thickBot="1" x14ac:dyDescent="0.25">
      <c r="A11" s="885"/>
      <c r="B11" s="889"/>
      <c r="C11" s="887"/>
      <c r="D11" s="901"/>
      <c r="E11" s="247" t="s">
        <v>67</v>
      </c>
      <c r="F11" s="248" t="s">
        <v>68</v>
      </c>
      <c r="G11" s="249" t="s">
        <v>6</v>
      </c>
      <c r="H11" s="903"/>
      <c r="L11" s="895"/>
      <c r="M11" s="897"/>
      <c r="N11" s="897"/>
      <c r="O11" s="897"/>
    </row>
    <row r="12" spans="1:15" ht="15.75" customHeight="1" x14ac:dyDescent="0.2">
      <c r="A12" s="893" t="str">
        <f>+'B) Reajuste Tarifas y Ocupación'!A12</f>
        <v>Jardín Infantil Olitas de Mar</v>
      </c>
      <c r="B12" s="436"/>
      <c r="C12" s="547" t="s">
        <v>11</v>
      </c>
      <c r="D12" s="556">
        <f>SUM(D13+D18)</f>
        <v>26182067.19444048</v>
      </c>
      <c r="E12" s="557"/>
      <c r="F12" s="557"/>
      <c r="G12" s="558">
        <f>SUM(G13,G18)</f>
        <v>9342720</v>
      </c>
      <c r="H12" s="559">
        <f>SUM(H13,H18)</f>
        <v>35524787.194440484</v>
      </c>
      <c r="I12" s="408"/>
      <c r="J12" s="408"/>
      <c r="L12" s="539" t="s">
        <v>11</v>
      </c>
      <c r="M12" s="540"/>
      <c r="N12" s="540"/>
      <c r="O12" s="540"/>
    </row>
    <row r="13" spans="1:15" ht="12.75" customHeight="1" x14ac:dyDescent="0.2">
      <c r="A13" s="819"/>
      <c r="B13" s="409"/>
      <c r="C13" s="550" t="s">
        <v>12</v>
      </c>
      <c r="D13" s="560">
        <f>SUM(D14:D17)</f>
        <v>19521895.19444048</v>
      </c>
      <c r="E13" s="561"/>
      <c r="F13" s="561"/>
      <c r="G13" s="562">
        <f>SUM(G14:G17)</f>
        <v>0</v>
      </c>
      <c r="H13" s="410">
        <f>SUM(H14:H17)</f>
        <v>19521895.19444048</v>
      </c>
      <c r="I13" s="408"/>
      <c r="J13" s="408"/>
      <c r="L13" s="541" t="s">
        <v>16</v>
      </c>
      <c r="M13" s="542"/>
      <c r="N13" s="543"/>
      <c r="O13" s="543"/>
    </row>
    <row r="14" spans="1:15" ht="12.75" customHeight="1" x14ac:dyDescent="0.2">
      <c r="A14" s="819"/>
      <c r="B14" s="411">
        <v>53103040100000</v>
      </c>
      <c r="C14" s="544" t="s">
        <v>95</v>
      </c>
      <c r="D14" s="563">
        <f>'F) Remuneraciones'!L11</f>
        <v>10912767.519248001</v>
      </c>
      <c r="E14" s="564">
        <v>0</v>
      </c>
      <c r="F14" s="565">
        <v>0</v>
      </c>
      <c r="G14" s="564">
        <f>E14*F14</f>
        <v>0</v>
      </c>
      <c r="H14" s="566">
        <f>D14+G14</f>
        <v>10912767.519248001</v>
      </c>
      <c r="I14" s="408"/>
      <c r="J14" s="408"/>
      <c r="L14" s="444" t="s">
        <v>180</v>
      </c>
      <c r="M14" s="546">
        <v>100000</v>
      </c>
      <c r="N14" s="443">
        <f t="shared" ref="N14:N61" si="0">M14*0.8</f>
        <v>80000</v>
      </c>
      <c r="O14" s="443">
        <f t="shared" ref="O14:O61" si="1">M14*0.2</f>
        <v>20000</v>
      </c>
    </row>
    <row r="15" spans="1:15" ht="12.75" customHeight="1" x14ac:dyDescent="0.2">
      <c r="A15" s="819"/>
      <c r="B15" s="411">
        <v>53103050000000</v>
      </c>
      <c r="C15" s="544" t="s">
        <v>174</v>
      </c>
      <c r="D15" s="567">
        <v>8500000</v>
      </c>
      <c r="E15" s="568">
        <v>0</v>
      </c>
      <c r="F15" s="569">
        <v>0</v>
      </c>
      <c r="G15" s="564">
        <f>E15*F15</f>
        <v>0</v>
      </c>
      <c r="H15" s="566">
        <f>D15+G15</f>
        <v>8500000</v>
      </c>
      <c r="I15" s="408"/>
      <c r="J15" s="408"/>
      <c r="L15" s="412" t="s">
        <v>19</v>
      </c>
      <c r="M15" s="545">
        <v>100000</v>
      </c>
      <c r="N15" s="443">
        <f t="shared" si="0"/>
        <v>80000</v>
      </c>
      <c r="O15" s="443">
        <f t="shared" si="1"/>
        <v>20000</v>
      </c>
    </row>
    <row r="16" spans="1:15" ht="12.75" customHeight="1" x14ac:dyDescent="0.2">
      <c r="A16" s="819"/>
      <c r="B16" s="442">
        <v>53103040400000</v>
      </c>
      <c r="C16" s="413" t="s">
        <v>175</v>
      </c>
      <c r="D16" s="567">
        <f>1*D14/100</f>
        <v>109127.67519248002</v>
      </c>
      <c r="E16" s="568">
        <v>0</v>
      </c>
      <c r="F16" s="569">
        <v>0</v>
      </c>
      <c r="G16" s="564">
        <f>E16*F16</f>
        <v>0</v>
      </c>
      <c r="H16" s="566">
        <f>D16+G16</f>
        <v>109127.67519248002</v>
      </c>
      <c r="I16" s="408"/>
      <c r="J16" s="408"/>
      <c r="L16" s="412" t="s">
        <v>181</v>
      </c>
      <c r="M16" s="545">
        <v>0</v>
      </c>
      <c r="N16" s="443">
        <f t="shared" si="0"/>
        <v>0</v>
      </c>
      <c r="O16" s="443">
        <f t="shared" si="1"/>
        <v>0</v>
      </c>
    </row>
    <row r="17" spans="1:15" ht="12.75" customHeight="1" x14ac:dyDescent="0.2">
      <c r="A17" s="819"/>
      <c r="B17" s="411">
        <v>53103080010000</v>
      </c>
      <c r="C17" s="544" t="s">
        <v>176</v>
      </c>
      <c r="D17" s="567">
        <v>0</v>
      </c>
      <c r="E17" s="568">
        <v>0</v>
      </c>
      <c r="F17" s="569">
        <v>0</v>
      </c>
      <c r="G17" s="564">
        <f>E17*F17</f>
        <v>0</v>
      </c>
      <c r="H17" s="566">
        <f>D17+G17</f>
        <v>0</v>
      </c>
      <c r="I17" s="408"/>
      <c r="J17" s="408"/>
      <c r="L17" s="412" t="s">
        <v>216</v>
      </c>
      <c r="M17" s="545">
        <f>(4*14000)+(1*16000)</f>
        <v>72000</v>
      </c>
      <c r="N17" s="443">
        <f t="shared" si="0"/>
        <v>57600</v>
      </c>
      <c r="O17" s="443">
        <f t="shared" si="1"/>
        <v>14400</v>
      </c>
    </row>
    <row r="18" spans="1:15" ht="12.75" customHeight="1" x14ac:dyDescent="0.2">
      <c r="A18" s="819"/>
      <c r="B18" s="409"/>
      <c r="C18" s="550" t="s">
        <v>16</v>
      </c>
      <c r="D18" s="560">
        <f>SUM(D19:D38)</f>
        <v>6660172</v>
      </c>
      <c r="E18" s="561"/>
      <c r="F18" s="561"/>
      <c r="G18" s="560">
        <f>SUM(G19:G38)</f>
        <v>9342720</v>
      </c>
      <c r="H18" s="410">
        <f>SUM(H19:H38)</f>
        <v>16002892</v>
      </c>
      <c r="I18" s="793">
        <f>+H18+H45+H47+H56</f>
        <v>20985059.199999999</v>
      </c>
      <c r="J18" s="408"/>
      <c r="L18" s="412" t="s">
        <v>22</v>
      </c>
      <c r="M18" s="545">
        <v>2000000</v>
      </c>
      <c r="N18" s="443">
        <f t="shared" si="0"/>
        <v>1600000</v>
      </c>
      <c r="O18" s="443">
        <f t="shared" si="1"/>
        <v>400000</v>
      </c>
    </row>
    <row r="19" spans="1:15" ht="12.75" customHeight="1" x14ac:dyDescent="0.2">
      <c r="A19" s="819"/>
      <c r="B19" s="411">
        <v>53201010100000</v>
      </c>
      <c r="C19" s="570" t="s">
        <v>177</v>
      </c>
      <c r="D19" s="567">
        <v>0</v>
      </c>
      <c r="E19" s="568">
        <v>1839</v>
      </c>
      <c r="F19" s="569">
        <f>20*2*11</f>
        <v>440</v>
      </c>
      <c r="G19" s="564">
        <f t="shared" ref="G19:G38" si="2">E19*F19</f>
        <v>809160</v>
      </c>
      <c r="H19" s="566">
        <f t="shared" ref="H19:H38" si="3">D19+G19</f>
        <v>809160</v>
      </c>
      <c r="I19" s="408"/>
      <c r="J19" s="408"/>
      <c r="L19" s="412" t="s">
        <v>183</v>
      </c>
      <c r="M19" s="545">
        <v>0</v>
      </c>
      <c r="N19" s="443">
        <f t="shared" si="0"/>
        <v>0</v>
      </c>
      <c r="O19" s="443">
        <f t="shared" si="1"/>
        <v>0</v>
      </c>
    </row>
    <row r="20" spans="1:15" ht="12.75" customHeight="1" x14ac:dyDescent="0.2">
      <c r="A20" s="819"/>
      <c r="B20" s="411">
        <v>53201010100000</v>
      </c>
      <c r="C20" s="570" t="s">
        <v>178</v>
      </c>
      <c r="D20" s="567">
        <v>0</v>
      </c>
      <c r="E20" s="568">
        <v>1000</v>
      </c>
      <c r="F20" s="569">
        <f>(20*42*10)+(3*20)</f>
        <v>8460</v>
      </c>
      <c r="G20" s="564">
        <f t="shared" si="2"/>
        <v>8460000</v>
      </c>
      <c r="H20" s="566">
        <f t="shared" si="3"/>
        <v>8460000</v>
      </c>
      <c r="I20" s="408"/>
      <c r="J20" s="408"/>
      <c r="L20" s="412" t="s">
        <v>24</v>
      </c>
      <c r="M20" s="545">
        <v>1287362</v>
      </c>
      <c r="N20" s="443">
        <f t="shared" si="0"/>
        <v>1029889.6000000001</v>
      </c>
      <c r="O20" s="443">
        <f t="shared" si="1"/>
        <v>257472.40000000002</v>
      </c>
    </row>
    <row r="21" spans="1:15" ht="12.75" customHeight="1" x14ac:dyDescent="0.2">
      <c r="A21" s="819"/>
      <c r="B21" s="411">
        <v>53201010100000</v>
      </c>
      <c r="C21" s="570" t="s">
        <v>179</v>
      </c>
      <c r="D21" s="567">
        <v>0</v>
      </c>
      <c r="E21" s="568">
        <v>1839</v>
      </c>
      <c r="F21" s="569">
        <f>8*5</f>
        <v>40</v>
      </c>
      <c r="G21" s="564">
        <f t="shared" si="2"/>
        <v>73560</v>
      </c>
      <c r="H21" s="566">
        <f t="shared" si="3"/>
        <v>73560</v>
      </c>
      <c r="I21" s="408"/>
      <c r="J21" s="408"/>
      <c r="L21" s="412" t="s">
        <v>25</v>
      </c>
      <c r="M21" s="545">
        <v>1425505</v>
      </c>
      <c r="N21" s="443">
        <f t="shared" si="0"/>
        <v>1140404</v>
      </c>
      <c r="O21" s="443">
        <f t="shared" si="1"/>
        <v>285101</v>
      </c>
    </row>
    <row r="22" spans="1:15" ht="12.75" customHeight="1" x14ac:dyDescent="0.2">
      <c r="A22" s="819"/>
      <c r="B22" s="411">
        <v>53202010100000</v>
      </c>
      <c r="C22" s="544" t="s">
        <v>180</v>
      </c>
      <c r="D22" s="571">
        <f t="shared" ref="D22:D38" si="4">N14</f>
        <v>80000</v>
      </c>
      <c r="E22" s="571">
        <v>0</v>
      </c>
      <c r="F22" s="572">
        <v>0</v>
      </c>
      <c r="G22" s="564">
        <f t="shared" si="2"/>
        <v>0</v>
      </c>
      <c r="H22" s="566">
        <f t="shared" si="3"/>
        <v>80000</v>
      </c>
      <c r="I22" s="408"/>
      <c r="J22" s="408"/>
      <c r="L22" s="412" t="s">
        <v>26</v>
      </c>
      <c r="M22" s="545">
        <v>1160348</v>
      </c>
      <c r="N22" s="443">
        <f t="shared" si="0"/>
        <v>928278.4</v>
      </c>
      <c r="O22" s="443">
        <f t="shared" si="1"/>
        <v>232069.6</v>
      </c>
    </row>
    <row r="23" spans="1:15" ht="12.75" customHeight="1" x14ac:dyDescent="0.2">
      <c r="A23" s="819"/>
      <c r="B23" s="411">
        <v>53203010100000</v>
      </c>
      <c r="C23" s="544" t="s">
        <v>19</v>
      </c>
      <c r="D23" s="564">
        <f t="shared" si="4"/>
        <v>80000</v>
      </c>
      <c r="E23" s="564">
        <v>0</v>
      </c>
      <c r="F23" s="572">
        <v>0</v>
      </c>
      <c r="G23" s="564">
        <f t="shared" si="2"/>
        <v>0</v>
      </c>
      <c r="H23" s="566">
        <f t="shared" si="3"/>
        <v>80000</v>
      </c>
      <c r="I23" s="408"/>
      <c r="J23" s="408"/>
      <c r="L23" s="412" t="s">
        <v>27</v>
      </c>
      <c r="M23" s="545">
        <v>0</v>
      </c>
      <c r="N23" s="443">
        <f t="shared" si="0"/>
        <v>0</v>
      </c>
      <c r="O23" s="443">
        <f t="shared" si="1"/>
        <v>0</v>
      </c>
    </row>
    <row r="24" spans="1:15" ht="12.75" customHeight="1" x14ac:dyDescent="0.2">
      <c r="A24" s="819"/>
      <c r="B24" s="411">
        <v>53203030000000</v>
      </c>
      <c r="C24" s="544" t="s">
        <v>181</v>
      </c>
      <c r="D24" s="564">
        <f t="shared" si="4"/>
        <v>0</v>
      </c>
      <c r="E24" s="564">
        <v>0</v>
      </c>
      <c r="F24" s="572">
        <v>0</v>
      </c>
      <c r="G24" s="564">
        <f t="shared" si="2"/>
        <v>0</v>
      </c>
      <c r="H24" s="566">
        <f t="shared" si="3"/>
        <v>0</v>
      </c>
      <c r="I24" s="408"/>
      <c r="J24" s="408"/>
      <c r="L24" s="412" t="s">
        <v>29</v>
      </c>
      <c r="M24" s="545">
        <f>25000*12</f>
        <v>300000</v>
      </c>
      <c r="N24" s="443">
        <f t="shared" si="0"/>
        <v>240000</v>
      </c>
      <c r="O24" s="443">
        <f t="shared" si="1"/>
        <v>60000</v>
      </c>
    </row>
    <row r="25" spans="1:15" ht="12.75" customHeight="1" x14ac:dyDescent="0.2">
      <c r="A25" s="819"/>
      <c r="B25" s="411">
        <v>53204030000000</v>
      </c>
      <c r="C25" s="544" t="s">
        <v>216</v>
      </c>
      <c r="D25" s="564">
        <f t="shared" si="4"/>
        <v>57600</v>
      </c>
      <c r="E25" s="564">
        <v>0</v>
      </c>
      <c r="F25" s="572">
        <v>0</v>
      </c>
      <c r="G25" s="564">
        <f t="shared" si="2"/>
        <v>0</v>
      </c>
      <c r="H25" s="566">
        <f>D25+G25</f>
        <v>57600</v>
      </c>
      <c r="I25" s="408"/>
      <c r="J25" s="408"/>
      <c r="L25" s="412" t="s">
        <v>30</v>
      </c>
      <c r="M25" s="545">
        <v>0</v>
      </c>
      <c r="N25" s="443">
        <f t="shared" si="0"/>
        <v>0</v>
      </c>
      <c r="O25" s="443">
        <f t="shared" si="1"/>
        <v>0</v>
      </c>
    </row>
    <row r="26" spans="1:15" ht="12.75" customHeight="1" x14ac:dyDescent="0.2">
      <c r="A26" s="819"/>
      <c r="B26" s="411">
        <v>53204100100001</v>
      </c>
      <c r="C26" s="544" t="s">
        <v>22</v>
      </c>
      <c r="D26" s="564">
        <f t="shared" si="4"/>
        <v>1600000</v>
      </c>
      <c r="E26" s="564">
        <v>0</v>
      </c>
      <c r="F26" s="572">
        <v>0</v>
      </c>
      <c r="G26" s="564">
        <f t="shared" si="2"/>
        <v>0</v>
      </c>
      <c r="H26" s="566">
        <f t="shared" si="3"/>
        <v>1600000</v>
      </c>
      <c r="I26" s="408"/>
      <c r="J26" s="408"/>
      <c r="L26" s="412" t="s">
        <v>31</v>
      </c>
      <c r="M26" s="546"/>
      <c r="N26" s="443">
        <f t="shared" si="0"/>
        <v>0</v>
      </c>
      <c r="O26" s="443">
        <f t="shared" si="1"/>
        <v>0</v>
      </c>
    </row>
    <row r="27" spans="1:15" ht="12.75" customHeight="1" x14ac:dyDescent="0.2">
      <c r="A27" s="819"/>
      <c r="B27" s="411">
        <v>53204130100000</v>
      </c>
      <c r="C27" s="544" t="s">
        <v>183</v>
      </c>
      <c r="D27" s="564">
        <f t="shared" si="4"/>
        <v>0</v>
      </c>
      <c r="E27" s="564">
        <v>0</v>
      </c>
      <c r="F27" s="572">
        <v>0</v>
      </c>
      <c r="G27" s="564">
        <f t="shared" si="2"/>
        <v>0</v>
      </c>
      <c r="H27" s="566">
        <f t="shared" si="3"/>
        <v>0</v>
      </c>
      <c r="I27" s="408"/>
      <c r="J27" s="408"/>
      <c r="L27" s="412" t="s">
        <v>184</v>
      </c>
      <c r="M27" s="545">
        <v>0</v>
      </c>
      <c r="N27" s="443">
        <f t="shared" si="0"/>
        <v>0</v>
      </c>
      <c r="O27" s="443">
        <f t="shared" si="1"/>
        <v>0</v>
      </c>
    </row>
    <row r="28" spans="1:15" ht="12.75" customHeight="1" x14ac:dyDescent="0.2">
      <c r="A28" s="819"/>
      <c r="B28" s="411">
        <v>53205010100000</v>
      </c>
      <c r="C28" s="544" t="s">
        <v>24</v>
      </c>
      <c r="D28" s="564">
        <f t="shared" si="4"/>
        <v>1029889.6000000001</v>
      </c>
      <c r="E28" s="564">
        <v>0</v>
      </c>
      <c r="F28" s="572">
        <v>0</v>
      </c>
      <c r="G28" s="564">
        <f t="shared" si="2"/>
        <v>0</v>
      </c>
      <c r="H28" s="566">
        <f t="shared" si="3"/>
        <v>1029889.6000000001</v>
      </c>
      <c r="I28" s="408"/>
      <c r="J28" s="408"/>
      <c r="L28" s="412" t="s">
        <v>32</v>
      </c>
      <c r="M28" s="545">
        <v>380000</v>
      </c>
      <c r="N28" s="443">
        <f t="shared" si="0"/>
        <v>304000</v>
      </c>
      <c r="O28" s="443">
        <f t="shared" si="1"/>
        <v>76000</v>
      </c>
    </row>
    <row r="29" spans="1:15" ht="12.75" customHeight="1" x14ac:dyDescent="0.2">
      <c r="A29" s="819"/>
      <c r="B29" s="411">
        <v>53205020100000</v>
      </c>
      <c r="C29" s="544" t="s">
        <v>25</v>
      </c>
      <c r="D29" s="564">
        <f t="shared" si="4"/>
        <v>1140404</v>
      </c>
      <c r="E29" s="564">
        <v>0</v>
      </c>
      <c r="F29" s="572">
        <v>0</v>
      </c>
      <c r="G29" s="564">
        <f t="shared" si="2"/>
        <v>0</v>
      </c>
      <c r="H29" s="566">
        <f t="shared" si="3"/>
        <v>1140404</v>
      </c>
      <c r="I29" s="408"/>
      <c r="J29" s="408"/>
      <c r="L29" s="444" t="s">
        <v>185</v>
      </c>
      <c r="M29" s="545">
        <v>1500000</v>
      </c>
      <c r="N29" s="443">
        <f t="shared" si="0"/>
        <v>1200000</v>
      </c>
      <c r="O29" s="443">
        <f t="shared" si="1"/>
        <v>300000</v>
      </c>
    </row>
    <row r="30" spans="1:15" ht="12.75" customHeight="1" x14ac:dyDescent="0.2">
      <c r="A30" s="819"/>
      <c r="B30" s="411">
        <v>53205030100000</v>
      </c>
      <c r="C30" s="544" t="s">
        <v>26</v>
      </c>
      <c r="D30" s="564">
        <f t="shared" si="4"/>
        <v>928278.4</v>
      </c>
      <c r="E30" s="564">
        <v>0</v>
      </c>
      <c r="F30" s="572">
        <v>0</v>
      </c>
      <c r="G30" s="564">
        <f t="shared" si="2"/>
        <v>0</v>
      </c>
      <c r="H30" s="566">
        <f t="shared" si="3"/>
        <v>928278.4</v>
      </c>
      <c r="I30" s="408"/>
      <c r="J30" s="408"/>
      <c r="L30" s="412" t="s">
        <v>186</v>
      </c>
      <c r="M30" s="546"/>
      <c r="N30" s="443">
        <f t="shared" si="0"/>
        <v>0</v>
      </c>
      <c r="O30" s="443">
        <f t="shared" si="1"/>
        <v>0</v>
      </c>
    </row>
    <row r="31" spans="1:15" ht="12.75" customHeight="1" x14ac:dyDescent="0.2">
      <c r="A31" s="819"/>
      <c r="B31" s="411">
        <v>53205050100000</v>
      </c>
      <c r="C31" s="544" t="s">
        <v>27</v>
      </c>
      <c r="D31" s="564">
        <f t="shared" si="4"/>
        <v>0</v>
      </c>
      <c r="E31" s="564">
        <v>0</v>
      </c>
      <c r="F31" s="572">
        <v>0</v>
      </c>
      <c r="G31" s="564">
        <f t="shared" si="2"/>
        <v>0</v>
      </c>
      <c r="H31" s="566">
        <f t="shared" si="3"/>
        <v>0</v>
      </c>
      <c r="I31" s="408"/>
      <c r="J31" s="408"/>
      <c r="L31" s="547" t="s">
        <v>34</v>
      </c>
      <c r="M31" s="548">
        <v>0</v>
      </c>
      <c r="N31" s="549"/>
      <c r="O31" s="549"/>
    </row>
    <row r="32" spans="1:15" ht="12.75" customHeight="1" x14ac:dyDescent="0.2">
      <c r="A32" s="819"/>
      <c r="B32" s="411">
        <v>53205070100000</v>
      </c>
      <c r="C32" s="544" t="s">
        <v>29</v>
      </c>
      <c r="D32" s="564">
        <f t="shared" si="4"/>
        <v>240000</v>
      </c>
      <c r="E32" s="564">
        <v>0</v>
      </c>
      <c r="F32" s="572">
        <v>0</v>
      </c>
      <c r="G32" s="564">
        <f t="shared" si="2"/>
        <v>0</v>
      </c>
      <c r="H32" s="566">
        <f t="shared" si="3"/>
        <v>240000</v>
      </c>
      <c r="I32" s="408"/>
      <c r="J32" s="408"/>
      <c r="L32" s="550" t="s">
        <v>35</v>
      </c>
      <c r="M32" s="551"/>
      <c r="N32" s="552"/>
      <c r="O32" s="552"/>
    </row>
    <row r="33" spans="1:15" ht="12.75" customHeight="1" x14ac:dyDescent="0.2">
      <c r="A33" s="819"/>
      <c r="B33" s="411">
        <v>53208010100000</v>
      </c>
      <c r="C33" s="544" t="s">
        <v>30</v>
      </c>
      <c r="D33" s="564">
        <f t="shared" si="4"/>
        <v>0</v>
      </c>
      <c r="E33" s="564">
        <v>0</v>
      </c>
      <c r="F33" s="572">
        <v>0</v>
      </c>
      <c r="G33" s="564">
        <f t="shared" si="2"/>
        <v>0</v>
      </c>
      <c r="H33" s="566">
        <f t="shared" si="3"/>
        <v>0</v>
      </c>
      <c r="I33" s="408"/>
      <c r="J33" s="408"/>
      <c r="L33" s="412" t="s">
        <v>41</v>
      </c>
      <c r="M33" s="545">
        <v>250000</v>
      </c>
      <c r="N33" s="443">
        <f t="shared" si="0"/>
        <v>200000</v>
      </c>
      <c r="O33" s="443">
        <f t="shared" si="1"/>
        <v>50000</v>
      </c>
    </row>
    <row r="34" spans="1:15" ht="12.75" customHeight="1" x14ac:dyDescent="0.2">
      <c r="A34" s="819"/>
      <c r="B34" s="411">
        <v>53208070100001</v>
      </c>
      <c r="C34" s="544" t="s">
        <v>31</v>
      </c>
      <c r="D34" s="564">
        <f t="shared" si="4"/>
        <v>0</v>
      </c>
      <c r="E34" s="564">
        <v>0</v>
      </c>
      <c r="F34" s="572">
        <v>0</v>
      </c>
      <c r="G34" s="564">
        <f t="shared" si="2"/>
        <v>0</v>
      </c>
      <c r="H34" s="566">
        <f t="shared" si="3"/>
        <v>0</v>
      </c>
      <c r="I34" s="408"/>
      <c r="J34" s="408"/>
      <c r="L34" s="444" t="s">
        <v>189</v>
      </c>
      <c r="M34" s="545">
        <v>80000</v>
      </c>
      <c r="N34" s="443">
        <f t="shared" si="0"/>
        <v>64000</v>
      </c>
      <c r="O34" s="443">
        <f t="shared" si="1"/>
        <v>16000</v>
      </c>
    </row>
    <row r="35" spans="1:15" ht="12.75" customHeight="1" x14ac:dyDescent="0.2">
      <c r="A35" s="819"/>
      <c r="B35" s="411">
        <v>53208100100001</v>
      </c>
      <c r="C35" s="544" t="s">
        <v>184</v>
      </c>
      <c r="D35" s="564">
        <f t="shared" si="4"/>
        <v>0</v>
      </c>
      <c r="E35" s="564">
        <v>0</v>
      </c>
      <c r="F35" s="572">
        <v>0</v>
      </c>
      <c r="G35" s="564">
        <f t="shared" si="2"/>
        <v>0</v>
      </c>
      <c r="H35" s="566">
        <f t="shared" si="3"/>
        <v>0</v>
      </c>
      <c r="I35" s="408"/>
      <c r="J35" s="408"/>
      <c r="L35" s="550" t="s">
        <v>42</v>
      </c>
      <c r="M35" s="551"/>
      <c r="N35" s="552"/>
      <c r="O35" s="552"/>
    </row>
    <row r="36" spans="1:15" ht="12.75" customHeight="1" x14ac:dyDescent="0.2">
      <c r="A36" s="819"/>
      <c r="B36" s="411">
        <v>53211030000000</v>
      </c>
      <c r="C36" s="544" t="s">
        <v>32</v>
      </c>
      <c r="D36" s="564">
        <f t="shared" si="4"/>
        <v>304000</v>
      </c>
      <c r="E36" s="564">
        <v>0</v>
      </c>
      <c r="F36" s="572">
        <v>0</v>
      </c>
      <c r="G36" s="564">
        <f t="shared" si="2"/>
        <v>0</v>
      </c>
      <c r="H36" s="566">
        <f t="shared" si="3"/>
        <v>304000</v>
      </c>
      <c r="I36" s="408"/>
      <c r="J36" s="408"/>
      <c r="L36" s="412" t="s">
        <v>44</v>
      </c>
      <c r="M36" s="545">
        <v>0</v>
      </c>
      <c r="N36" s="443">
        <f t="shared" si="0"/>
        <v>0</v>
      </c>
      <c r="O36" s="443">
        <f t="shared" si="1"/>
        <v>0</v>
      </c>
    </row>
    <row r="37" spans="1:15" ht="12.75" customHeight="1" x14ac:dyDescent="0.2">
      <c r="A37" s="819"/>
      <c r="B37" s="411">
        <v>53212020100000</v>
      </c>
      <c r="C37" s="544" t="s">
        <v>185</v>
      </c>
      <c r="D37" s="564">
        <f t="shared" si="4"/>
        <v>1200000</v>
      </c>
      <c r="E37" s="564">
        <v>0</v>
      </c>
      <c r="F37" s="572">
        <v>0</v>
      </c>
      <c r="G37" s="564">
        <f t="shared" si="2"/>
        <v>0</v>
      </c>
      <c r="H37" s="566">
        <f t="shared" si="3"/>
        <v>1200000</v>
      </c>
      <c r="I37" s="408"/>
      <c r="J37" s="408"/>
      <c r="L37" s="550" t="s">
        <v>45</v>
      </c>
      <c r="M37" s="553"/>
      <c r="N37" s="554"/>
      <c r="O37" s="554"/>
    </row>
    <row r="38" spans="1:15" ht="12.75" customHeight="1" x14ac:dyDescent="0.2">
      <c r="A38" s="819"/>
      <c r="B38" s="411">
        <v>53214020000000</v>
      </c>
      <c r="C38" s="544" t="s">
        <v>186</v>
      </c>
      <c r="D38" s="564">
        <f t="shared" si="4"/>
        <v>0</v>
      </c>
      <c r="E38" s="564">
        <v>0</v>
      </c>
      <c r="F38" s="572">
        <v>0</v>
      </c>
      <c r="G38" s="564">
        <f t="shared" si="2"/>
        <v>0</v>
      </c>
      <c r="H38" s="566">
        <f t="shared" si="3"/>
        <v>0</v>
      </c>
      <c r="I38" s="408"/>
      <c r="J38" s="408"/>
      <c r="L38" s="412" t="s">
        <v>47</v>
      </c>
      <c r="M38" s="545">
        <v>1000000</v>
      </c>
      <c r="N38" s="443">
        <f t="shared" si="0"/>
        <v>800000</v>
      </c>
      <c r="O38" s="443">
        <f t="shared" si="1"/>
        <v>200000</v>
      </c>
    </row>
    <row r="39" spans="1:15" ht="15.75" customHeight="1" x14ac:dyDescent="0.2">
      <c r="A39" s="819"/>
      <c r="B39" s="436"/>
      <c r="C39" s="547" t="s">
        <v>34</v>
      </c>
      <c r="D39" s="414">
        <f>+D40+D45+D47+D56+D65+D73</f>
        <v>6500046.4000000004</v>
      </c>
      <c r="E39" s="573"/>
      <c r="F39" s="573"/>
      <c r="G39" s="414">
        <f>+G40+G45+G47+G56+G65+G73</f>
        <v>1120800</v>
      </c>
      <c r="H39" s="414">
        <f>+H40+H45+H47+H56+H65+H73</f>
        <v>7620846.4000000004</v>
      </c>
      <c r="I39" s="408"/>
      <c r="J39" s="408"/>
      <c r="L39" s="412" t="s">
        <v>217</v>
      </c>
      <c r="M39" s="545">
        <f>4*30000</f>
        <v>120000</v>
      </c>
      <c r="N39" s="443">
        <f t="shared" si="0"/>
        <v>96000</v>
      </c>
      <c r="O39" s="443">
        <f t="shared" si="1"/>
        <v>24000</v>
      </c>
    </row>
    <row r="40" spans="1:15" ht="12.75" customHeight="1" x14ac:dyDescent="0.2">
      <c r="A40" s="819"/>
      <c r="B40" s="409"/>
      <c r="C40" s="550" t="s">
        <v>35</v>
      </c>
      <c r="D40" s="560">
        <f>SUM(D41:D44)</f>
        <v>264000</v>
      </c>
      <c r="E40" s="561"/>
      <c r="F40" s="561"/>
      <c r="G40" s="560">
        <f>SUM(G41:G44)</f>
        <v>229980</v>
      </c>
      <c r="H40" s="560">
        <f>SUM(H41:H44)</f>
        <v>493980</v>
      </c>
      <c r="I40" s="408"/>
      <c r="J40" s="408"/>
      <c r="L40" s="412" t="s">
        <v>49</v>
      </c>
      <c r="M40" s="545"/>
      <c r="N40" s="443">
        <f>M40*0.8</f>
        <v>0</v>
      </c>
      <c r="O40" s="443">
        <f>M40*0.2</f>
        <v>0</v>
      </c>
    </row>
    <row r="41" spans="1:15" ht="12.75" customHeight="1" x14ac:dyDescent="0.2">
      <c r="A41" s="819"/>
      <c r="B41" s="411">
        <v>53202020100000</v>
      </c>
      <c r="C41" s="544" t="s">
        <v>187</v>
      </c>
      <c r="D41" s="567"/>
      <c r="E41" s="568">
        <v>20000</v>
      </c>
      <c r="F41" s="690">
        <v>9</v>
      </c>
      <c r="G41" s="564">
        <f>E41*F41</f>
        <v>180000</v>
      </c>
      <c r="H41" s="566">
        <f t="shared" ref="H41:H74" si="5">D41+G41</f>
        <v>180000</v>
      </c>
      <c r="I41" s="408"/>
      <c r="J41" s="408"/>
      <c r="L41" s="412" t="s">
        <v>50</v>
      </c>
      <c r="M41" s="545">
        <v>2500000</v>
      </c>
      <c r="N41" s="443">
        <f>M41*0.8</f>
        <v>2000000</v>
      </c>
      <c r="O41" s="443">
        <f>M41*0.2</f>
        <v>500000</v>
      </c>
    </row>
    <row r="42" spans="1:15" ht="12.75" customHeight="1" x14ac:dyDescent="0.2">
      <c r="A42" s="819"/>
      <c r="B42" s="411">
        <v>53202030000000</v>
      </c>
      <c r="C42" s="544" t="s">
        <v>188</v>
      </c>
      <c r="D42" s="567"/>
      <c r="E42" s="568">
        <v>24990</v>
      </c>
      <c r="F42" s="690">
        <v>2</v>
      </c>
      <c r="G42" s="564">
        <f t="shared" ref="G42:G74" si="6">E42*F42</f>
        <v>49980</v>
      </c>
      <c r="H42" s="566">
        <f t="shared" si="5"/>
        <v>49980</v>
      </c>
      <c r="I42" s="408"/>
      <c r="J42" s="408"/>
      <c r="L42" s="412" t="s">
        <v>51</v>
      </c>
      <c r="M42" s="545">
        <v>250000</v>
      </c>
      <c r="N42" s="443">
        <f t="shared" si="0"/>
        <v>200000</v>
      </c>
      <c r="O42" s="443">
        <f t="shared" si="1"/>
        <v>50000</v>
      </c>
    </row>
    <row r="43" spans="1:15" ht="12.75" customHeight="1" x14ac:dyDescent="0.2">
      <c r="A43" s="819"/>
      <c r="B43" s="411">
        <v>53211020000000</v>
      </c>
      <c r="C43" s="544" t="s">
        <v>41</v>
      </c>
      <c r="D43" s="574">
        <f>N33</f>
        <v>200000</v>
      </c>
      <c r="E43" s="574">
        <v>0</v>
      </c>
      <c r="F43" s="575">
        <v>0</v>
      </c>
      <c r="G43" s="564">
        <f t="shared" si="6"/>
        <v>0</v>
      </c>
      <c r="H43" s="566">
        <f t="shared" si="5"/>
        <v>200000</v>
      </c>
      <c r="I43" s="408"/>
      <c r="J43" s="408"/>
      <c r="L43" s="412" t="s">
        <v>52</v>
      </c>
      <c r="M43" s="546">
        <v>150000</v>
      </c>
      <c r="N43" s="443">
        <f t="shared" si="0"/>
        <v>120000</v>
      </c>
      <c r="O43" s="443">
        <f t="shared" si="1"/>
        <v>30000</v>
      </c>
    </row>
    <row r="44" spans="1:15" ht="12.75" customHeight="1" x14ac:dyDescent="0.2">
      <c r="A44" s="819"/>
      <c r="B44" s="411">
        <v>53101040600000</v>
      </c>
      <c r="C44" s="544" t="s">
        <v>189</v>
      </c>
      <c r="D44" s="574">
        <f>N34</f>
        <v>64000</v>
      </c>
      <c r="E44" s="574">
        <v>0</v>
      </c>
      <c r="F44" s="575">
        <v>0</v>
      </c>
      <c r="G44" s="564">
        <f t="shared" si="6"/>
        <v>0</v>
      </c>
      <c r="H44" s="566">
        <f t="shared" si="5"/>
        <v>64000</v>
      </c>
      <c r="I44" s="408"/>
      <c r="J44" s="408"/>
      <c r="L44" s="444" t="s">
        <v>190</v>
      </c>
      <c r="M44" s="546">
        <v>130000</v>
      </c>
      <c r="N44" s="443">
        <f t="shared" si="0"/>
        <v>104000</v>
      </c>
      <c r="O44" s="443">
        <f t="shared" si="1"/>
        <v>26000</v>
      </c>
    </row>
    <row r="45" spans="1:15" ht="12.75" customHeight="1" x14ac:dyDescent="0.2">
      <c r="A45" s="819"/>
      <c r="B45" s="409"/>
      <c r="C45" s="550" t="s">
        <v>42</v>
      </c>
      <c r="D45" s="560">
        <f>SUM(D46:D46)</f>
        <v>0</v>
      </c>
      <c r="E45" s="561"/>
      <c r="F45" s="561"/>
      <c r="G45" s="576">
        <f>SUM(G46:G46)</f>
        <v>0</v>
      </c>
      <c r="H45" s="577">
        <f>SUM(H46:H46)</f>
        <v>0</v>
      </c>
      <c r="I45" s="408"/>
      <c r="J45" s="408"/>
      <c r="L45" s="412" t="s">
        <v>182</v>
      </c>
      <c r="M45" s="545">
        <v>71500</v>
      </c>
      <c r="N45" s="443">
        <f t="shared" si="0"/>
        <v>57200</v>
      </c>
      <c r="O45" s="443">
        <f t="shared" si="1"/>
        <v>14300</v>
      </c>
    </row>
    <row r="46" spans="1:15" ht="12.75" customHeight="1" x14ac:dyDescent="0.2">
      <c r="A46" s="819"/>
      <c r="B46" s="415">
        <v>53205990000000</v>
      </c>
      <c r="C46" s="544" t="s">
        <v>44</v>
      </c>
      <c r="D46" s="574">
        <f>N36</f>
        <v>0</v>
      </c>
      <c r="E46" s="574">
        <v>0</v>
      </c>
      <c r="F46" s="575">
        <v>0</v>
      </c>
      <c r="G46" s="564">
        <f t="shared" si="6"/>
        <v>0</v>
      </c>
      <c r="H46" s="566">
        <f t="shared" si="5"/>
        <v>0</v>
      </c>
      <c r="I46" s="408"/>
      <c r="J46" s="408"/>
      <c r="L46" s="550" t="s">
        <v>55</v>
      </c>
      <c r="M46" s="553"/>
      <c r="N46" s="554"/>
      <c r="O46" s="554"/>
    </row>
    <row r="47" spans="1:15" ht="12.75" customHeight="1" x14ac:dyDescent="0.2">
      <c r="A47" s="819"/>
      <c r="B47" s="409"/>
      <c r="C47" s="550" t="s">
        <v>45</v>
      </c>
      <c r="D47" s="560">
        <f>SUM(D48:D55)</f>
        <v>3377200</v>
      </c>
      <c r="E47" s="561"/>
      <c r="F47" s="561"/>
      <c r="G47" s="560">
        <f>SUM(G48:G55)</f>
        <v>0</v>
      </c>
      <c r="H47" s="410">
        <f>SUM(H48:H55)</f>
        <v>3377200</v>
      </c>
      <c r="I47" s="408"/>
      <c r="J47" s="408"/>
      <c r="L47" s="412" t="s">
        <v>56</v>
      </c>
      <c r="M47" s="545">
        <v>0</v>
      </c>
      <c r="N47" s="443">
        <f t="shared" si="0"/>
        <v>0</v>
      </c>
      <c r="O47" s="443">
        <f t="shared" si="1"/>
        <v>0</v>
      </c>
    </row>
    <row r="48" spans="1:15" ht="12.75" customHeight="1" x14ac:dyDescent="0.2">
      <c r="A48" s="819"/>
      <c r="B48" s="411">
        <v>53204010000000</v>
      </c>
      <c r="C48" s="544" t="s">
        <v>47</v>
      </c>
      <c r="D48" s="574">
        <f t="shared" ref="D48:D55" si="7">N38</f>
        <v>800000</v>
      </c>
      <c r="E48" s="574">
        <v>0</v>
      </c>
      <c r="F48" s="575">
        <v>0</v>
      </c>
      <c r="G48" s="574">
        <f t="shared" si="6"/>
        <v>0</v>
      </c>
      <c r="H48" s="566">
        <f t="shared" si="5"/>
        <v>800000</v>
      </c>
      <c r="I48" s="408"/>
      <c r="J48" s="408"/>
      <c r="L48" s="412" t="s">
        <v>57</v>
      </c>
      <c r="M48" s="545">
        <v>0</v>
      </c>
      <c r="N48" s="443">
        <f t="shared" si="0"/>
        <v>0</v>
      </c>
      <c r="O48" s="443">
        <f t="shared" si="1"/>
        <v>0</v>
      </c>
    </row>
    <row r="49" spans="1:15" ht="12.75" customHeight="1" x14ac:dyDescent="0.2">
      <c r="A49" s="819"/>
      <c r="B49" s="415">
        <v>53204040200000</v>
      </c>
      <c r="C49" s="544" t="s">
        <v>217</v>
      </c>
      <c r="D49" s="574">
        <f t="shared" si="7"/>
        <v>96000</v>
      </c>
      <c r="E49" s="574">
        <v>0</v>
      </c>
      <c r="F49" s="575">
        <v>0</v>
      </c>
      <c r="G49" s="574">
        <f t="shared" si="6"/>
        <v>0</v>
      </c>
      <c r="H49" s="566">
        <f t="shared" si="5"/>
        <v>96000</v>
      </c>
      <c r="I49" s="408"/>
      <c r="J49" s="408"/>
      <c r="L49" s="412" t="s">
        <v>173</v>
      </c>
      <c r="M49" s="545">
        <v>0</v>
      </c>
      <c r="N49" s="443">
        <f t="shared" si="0"/>
        <v>0</v>
      </c>
      <c r="O49" s="443">
        <f t="shared" si="1"/>
        <v>0</v>
      </c>
    </row>
    <row r="50" spans="1:15" ht="12.75" customHeight="1" x14ac:dyDescent="0.2">
      <c r="A50" s="819"/>
      <c r="B50" s="411">
        <v>53204060000000</v>
      </c>
      <c r="C50" s="544" t="s">
        <v>49</v>
      </c>
      <c r="D50" s="574">
        <f t="shared" si="7"/>
        <v>0</v>
      </c>
      <c r="E50" s="574">
        <v>0</v>
      </c>
      <c r="F50" s="575">
        <v>0</v>
      </c>
      <c r="G50" s="574">
        <f t="shared" si="6"/>
        <v>0</v>
      </c>
      <c r="H50" s="566">
        <f t="shared" si="5"/>
        <v>0</v>
      </c>
      <c r="I50" s="408"/>
      <c r="J50" s="408"/>
      <c r="L50" s="412" t="s">
        <v>191</v>
      </c>
      <c r="M50" s="545">
        <v>360000</v>
      </c>
      <c r="N50" s="443">
        <f t="shared" si="0"/>
        <v>288000</v>
      </c>
      <c r="O50" s="443">
        <f t="shared" si="1"/>
        <v>72000</v>
      </c>
    </row>
    <row r="51" spans="1:15" ht="12.75" customHeight="1" x14ac:dyDescent="0.2">
      <c r="A51" s="819"/>
      <c r="B51" s="411">
        <v>53204070000000</v>
      </c>
      <c r="C51" s="544" t="s">
        <v>50</v>
      </c>
      <c r="D51" s="574">
        <f t="shared" si="7"/>
        <v>2000000</v>
      </c>
      <c r="E51" s="574">
        <v>0</v>
      </c>
      <c r="F51" s="575">
        <v>0</v>
      </c>
      <c r="G51" s="574">
        <f t="shared" si="6"/>
        <v>0</v>
      </c>
      <c r="H51" s="566">
        <f t="shared" si="5"/>
        <v>2000000</v>
      </c>
      <c r="I51" s="408"/>
      <c r="J51" s="408"/>
      <c r="L51" s="412" t="s">
        <v>194</v>
      </c>
      <c r="M51" s="545">
        <v>0</v>
      </c>
      <c r="N51" s="443">
        <f t="shared" si="0"/>
        <v>0</v>
      </c>
      <c r="O51" s="443">
        <f t="shared" si="1"/>
        <v>0</v>
      </c>
    </row>
    <row r="52" spans="1:15" ht="12.75" customHeight="1" x14ac:dyDescent="0.2">
      <c r="A52" s="819"/>
      <c r="B52" s="411">
        <v>53204080000000</v>
      </c>
      <c r="C52" s="544" t="s">
        <v>51</v>
      </c>
      <c r="D52" s="574">
        <f t="shared" si="7"/>
        <v>200000</v>
      </c>
      <c r="E52" s="574">
        <v>0</v>
      </c>
      <c r="F52" s="575">
        <v>0</v>
      </c>
      <c r="G52" s="574">
        <f t="shared" si="6"/>
        <v>0</v>
      </c>
      <c r="H52" s="566">
        <f t="shared" si="5"/>
        <v>200000</v>
      </c>
      <c r="I52" s="408"/>
      <c r="J52" s="408"/>
      <c r="L52" s="412" t="s">
        <v>192</v>
      </c>
      <c r="M52" s="545"/>
      <c r="N52" s="443">
        <f t="shared" si="0"/>
        <v>0</v>
      </c>
      <c r="O52" s="443">
        <f t="shared" si="1"/>
        <v>0</v>
      </c>
    </row>
    <row r="53" spans="1:15" ht="12.75" customHeight="1" x14ac:dyDescent="0.2">
      <c r="A53" s="819"/>
      <c r="B53" s="411">
        <v>53214010000000</v>
      </c>
      <c r="C53" s="544" t="s">
        <v>52</v>
      </c>
      <c r="D53" s="578">
        <f t="shared" si="7"/>
        <v>120000</v>
      </c>
      <c r="E53" s="578">
        <v>0</v>
      </c>
      <c r="F53" s="575">
        <v>0</v>
      </c>
      <c r="G53" s="574">
        <f t="shared" si="6"/>
        <v>0</v>
      </c>
      <c r="H53" s="566">
        <f t="shared" si="5"/>
        <v>120000</v>
      </c>
      <c r="I53" s="408"/>
      <c r="J53" s="408"/>
      <c r="L53" s="412" t="s">
        <v>64</v>
      </c>
      <c r="M53" s="545">
        <v>1207684</v>
      </c>
      <c r="N53" s="443">
        <f t="shared" si="0"/>
        <v>966147.20000000007</v>
      </c>
      <c r="O53" s="443">
        <f t="shared" si="1"/>
        <v>241536.80000000002</v>
      </c>
    </row>
    <row r="54" spans="1:15" ht="12.75" customHeight="1" x14ac:dyDescent="0.2">
      <c r="A54" s="819"/>
      <c r="B54" s="411">
        <v>53214040000000</v>
      </c>
      <c r="C54" s="544" t="s">
        <v>190</v>
      </c>
      <c r="D54" s="578">
        <f t="shared" si="7"/>
        <v>104000</v>
      </c>
      <c r="E54" s="578">
        <v>0</v>
      </c>
      <c r="F54" s="575">
        <v>0</v>
      </c>
      <c r="G54" s="574">
        <f t="shared" si="6"/>
        <v>0</v>
      </c>
      <c r="H54" s="566">
        <f t="shared" si="5"/>
        <v>104000</v>
      </c>
      <c r="I54" s="408"/>
      <c r="J54" s="408"/>
      <c r="L54" s="550" t="s">
        <v>65</v>
      </c>
      <c r="M54" s="555"/>
      <c r="N54" s="554"/>
      <c r="O54" s="554"/>
    </row>
    <row r="55" spans="1:15" ht="12.75" customHeight="1" x14ac:dyDescent="0.2">
      <c r="A55" s="819"/>
      <c r="B55" s="442">
        <v>53204020100000</v>
      </c>
      <c r="C55" s="544" t="s">
        <v>182</v>
      </c>
      <c r="D55" s="574">
        <f t="shared" si="7"/>
        <v>57200</v>
      </c>
      <c r="E55" s="574">
        <v>0</v>
      </c>
      <c r="F55" s="575">
        <v>0</v>
      </c>
      <c r="G55" s="574">
        <f t="shared" si="6"/>
        <v>0</v>
      </c>
      <c r="H55" s="566">
        <f t="shared" si="5"/>
        <v>57200</v>
      </c>
      <c r="I55" s="408"/>
      <c r="J55" s="408"/>
      <c r="L55" s="412" t="s">
        <v>99</v>
      </c>
      <c r="M55" s="545">
        <v>0</v>
      </c>
      <c r="N55" s="443">
        <f t="shared" si="0"/>
        <v>0</v>
      </c>
      <c r="O55" s="443">
        <f t="shared" si="1"/>
        <v>0</v>
      </c>
    </row>
    <row r="56" spans="1:15" ht="12.75" customHeight="1" x14ac:dyDescent="0.2">
      <c r="A56" s="819"/>
      <c r="B56" s="409"/>
      <c r="C56" s="550" t="s">
        <v>55</v>
      </c>
      <c r="D56" s="560">
        <f>SUM(D57:D64)</f>
        <v>1254147.2000000002</v>
      </c>
      <c r="E56" s="561"/>
      <c r="F56" s="561"/>
      <c r="G56" s="560">
        <f>SUM(G57:G64)</f>
        <v>350820</v>
      </c>
      <c r="H56" s="410">
        <f>SUM(H57:H64)</f>
        <v>1604967.2000000002</v>
      </c>
      <c r="I56" s="408"/>
      <c r="J56" s="408"/>
      <c r="L56" s="412" t="s">
        <v>100</v>
      </c>
      <c r="M56" s="545">
        <v>0</v>
      </c>
      <c r="N56" s="443">
        <f t="shared" si="0"/>
        <v>0</v>
      </c>
      <c r="O56" s="443">
        <f t="shared" si="1"/>
        <v>0</v>
      </c>
    </row>
    <row r="57" spans="1:15" ht="12.75" customHeight="1" x14ac:dyDescent="0.2">
      <c r="A57" s="819"/>
      <c r="B57" s="411">
        <v>53207010000000</v>
      </c>
      <c r="C57" s="544" t="s">
        <v>56</v>
      </c>
      <c r="D57" s="574">
        <f>N47</f>
        <v>0</v>
      </c>
      <c r="E57" s="574">
        <v>0</v>
      </c>
      <c r="F57" s="575">
        <v>0</v>
      </c>
      <c r="G57" s="574">
        <f t="shared" si="6"/>
        <v>0</v>
      </c>
      <c r="H57" s="566">
        <f t="shared" si="5"/>
        <v>0</v>
      </c>
      <c r="I57" s="408"/>
      <c r="J57" s="408"/>
      <c r="L57" s="412" t="s">
        <v>195</v>
      </c>
      <c r="M57" s="545">
        <v>71730</v>
      </c>
      <c r="N57" s="443">
        <f t="shared" si="0"/>
        <v>57384</v>
      </c>
      <c r="O57" s="443">
        <f t="shared" si="1"/>
        <v>14346</v>
      </c>
    </row>
    <row r="58" spans="1:15" ht="12.75" customHeight="1" x14ac:dyDescent="0.2">
      <c r="A58" s="819"/>
      <c r="B58" s="411">
        <v>53207020000000</v>
      </c>
      <c r="C58" s="544" t="s">
        <v>57</v>
      </c>
      <c r="D58" s="574">
        <f>N48</f>
        <v>0</v>
      </c>
      <c r="E58" s="574">
        <v>0</v>
      </c>
      <c r="F58" s="575">
        <v>0</v>
      </c>
      <c r="G58" s="574">
        <f t="shared" si="6"/>
        <v>0</v>
      </c>
      <c r="H58" s="566">
        <f t="shared" si="5"/>
        <v>0</v>
      </c>
      <c r="I58" s="408"/>
      <c r="J58" s="408"/>
      <c r="L58" s="412" t="s">
        <v>102</v>
      </c>
      <c r="M58" s="545">
        <v>70000</v>
      </c>
      <c r="N58" s="443">
        <f t="shared" si="0"/>
        <v>56000</v>
      </c>
      <c r="O58" s="443">
        <f t="shared" si="1"/>
        <v>14000</v>
      </c>
    </row>
    <row r="59" spans="1:15" ht="12.75" customHeight="1" x14ac:dyDescent="0.2">
      <c r="A59" s="819"/>
      <c r="B59" s="411">
        <v>53208020000000</v>
      </c>
      <c r="C59" s="544" t="s">
        <v>173</v>
      </c>
      <c r="D59" s="574">
        <f>N49</f>
        <v>0</v>
      </c>
      <c r="E59" s="574">
        <v>0</v>
      </c>
      <c r="F59" s="575">
        <v>0</v>
      </c>
      <c r="G59" s="574">
        <f t="shared" si="6"/>
        <v>0</v>
      </c>
      <c r="H59" s="566">
        <f t="shared" si="5"/>
        <v>0</v>
      </c>
      <c r="I59" s="408"/>
      <c r="J59" s="408"/>
      <c r="L59" s="444" t="s">
        <v>196</v>
      </c>
      <c r="M59" s="545">
        <v>946000</v>
      </c>
      <c r="N59" s="443">
        <f t="shared" si="0"/>
        <v>756800</v>
      </c>
      <c r="O59" s="443">
        <f t="shared" si="1"/>
        <v>189200</v>
      </c>
    </row>
    <row r="60" spans="1:15" ht="12.75" customHeight="1" x14ac:dyDescent="0.2">
      <c r="A60" s="819"/>
      <c r="B60" s="411">
        <v>53208990000000</v>
      </c>
      <c r="C60" s="544" t="s">
        <v>191</v>
      </c>
      <c r="D60" s="574">
        <f>N50</f>
        <v>288000</v>
      </c>
      <c r="E60" s="574">
        <v>0</v>
      </c>
      <c r="F60" s="575">
        <v>0</v>
      </c>
      <c r="G60" s="574">
        <f t="shared" si="6"/>
        <v>0</v>
      </c>
      <c r="H60" s="566">
        <f t="shared" si="5"/>
        <v>288000</v>
      </c>
      <c r="I60" s="408"/>
      <c r="J60" s="408"/>
      <c r="L60" s="412" t="s">
        <v>104</v>
      </c>
      <c r="M60" s="545">
        <v>0</v>
      </c>
      <c r="N60" s="443">
        <f t="shared" si="0"/>
        <v>0</v>
      </c>
      <c r="O60" s="443">
        <f t="shared" si="1"/>
        <v>0</v>
      </c>
    </row>
    <row r="61" spans="1:15" ht="12.75" customHeight="1" x14ac:dyDescent="0.2">
      <c r="A61" s="819"/>
      <c r="B61" s="442">
        <v>53210020300000</v>
      </c>
      <c r="C61" s="544" t="s">
        <v>193</v>
      </c>
      <c r="D61" s="579">
        <v>0</v>
      </c>
      <c r="E61" s="579">
        <v>7796</v>
      </c>
      <c r="F61" s="689">
        <v>45</v>
      </c>
      <c r="G61" s="564">
        <f t="shared" si="6"/>
        <v>350820</v>
      </c>
      <c r="H61" s="566">
        <f t="shared" si="5"/>
        <v>350820</v>
      </c>
      <c r="I61" s="408"/>
      <c r="J61" s="408"/>
      <c r="L61" s="412" t="s">
        <v>218</v>
      </c>
      <c r="M61" s="545">
        <v>918144</v>
      </c>
      <c r="N61" s="443">
        <f t="shared" si="0"/>
        <v>734515.20000000007</v>
      </c>
      <c r="O61" s="443">
        <f t="shared" si="1"/>
        <v>183628.80000000002</v>
      </c>
    </row>
    <row r="62" spans="1:15" ht="12.75" customHeight="1" x14ac:dyDescent="0.2">
      <c r="A62" s="819"/>
      <c r="B62" s="411">
        <v>53208990000000</v>
      </c>
      <c r="C62" s="544" t="s">
        <v>194</v>
      </c>
      <c r="D62" s="564">
        <f>N51</f>
        <v>0</v>
      </c>
      <c r="E62" s="564">
        <v>0</v>
      </c>
      <c r="F62" s="572">
        <v>0</v>
      </c>
      <c r="G62" s="564">
        <f t="shared" si="6"/>
        <v>0</v>
      </c>
      <c r="H62" s="566">
        <f t="shared" si="5"/>
        <v>0</v>
      </c>
      <c r="I62" s="408"/>
      <c r="J62" s="408"/>
    </row>
    <row r="63" spans="1:15" ht="12.75" customHeight="1" x14ac:dyDescent="0.2">
      <c r="A63" s="819"/>
      <c r="B63" s="411">
        <v>53209990000000</v>
      </c>
      <c r="C63" s="544" t="s">
        <v>192</v>
      </c>
      <c r="D63" s="564">
        <f>N52</f>
        <v>0</v>
      </c>
      <c r="E63" s="564">
        <v>0</v>
      </c>
      <c r="F63" s="572">
        <v>0</v>
      </c>
      <c r="G63" s="564">
        <f t="shared" si="6"/>
        <v>0</v>
      </c>
      <c r="H63" s="566">
        <f t="shared" si="5"/>
        <v>0</v>
      </c>
      <c r="I63" s="408"/>
      <c r="J63" s="408"/>
    </row>
    <row r="64" spans="1:15" ht="12.75" customHeight="1" x14ac:dyDescent="0.2">
      <c r="A64" s="819"/>
      <c r="B64" s="411">
        <v>53210020100000</v>
      </c>
      <c r="C64" s="544" t="s">
        <v>64</v>
      </c>
      <c r="D64" s="564">
        <f>N53</f>
        <v>966147.20000000007</v>
      </c>
      <c r="E64" s="564">
        <v>0</v>
      </c>
      <c r="F64" s="572">
        <v>0</v>
      </c>
      <c r="G64" s="564">
        <f t="shared" si="6"/>
        <v>0</v>
      </c>
      <c r="H64" s="566">
        <f t="shared" si="5"/>
        <v>966147.20000000007</v>
      </c>
      <c r="I64" s="408"/>
      <c r="J64" s="408"/>
    </row>
    <row r="65" spans="1:10" ht="12.75" customHeight="1" x14ac:dyDescent="0.2">
      <c r="A65" s="819"/>
      <c r="B65" s="409"/>
      <c r="C65" s="550" t="s">
        <v>65</v>
      </c>
      <c r="D65" s="560">
        <f>SUM(D66:D72)</f>
        <v>1604699.2000000002</v>
      </c>
      <c r="E65" s="561"/>
      <c r="F65" s="561"/>
      <c r="G65" s="560">
        <f>SUM(G66:G72)</f>
        <v>0</v>
      </c>
      <c r="H65" s="410">
        <f>SUM(H66:H72)</f>
        <v>1604699.2000000002</v>
      </c>
      <c r="I65" s="408"/>
      <c r="J65" s="408"/>
    </row>
    <row r="66" spans="1:10" ht="12.75" customHeight="1" x14ac:dyDescent="0.2">
      <c r="A66" s="819"/>
      <c r="B66" s="411">
        <v>53206030000000</v>
      </c>
      <c r="C66" s="544" t="s">
        <v>99</v>
      </c>
      <c r="D66" s="574">
        <f t="shared" ref="D66:D72" si="8">N55</f>
        <v>0</v>
      </c>
      <c r="E66" s="574">
        <v>0</v>
      </c>
      <c r="F66" s="575">
        <v>0</v>
      </c>
      <c r="G66" s="564">
        <f t="shared" si="6"/>
        <v>0</v>
      </c>
      <c r="H66" s="566">
        <f t="shared" si="5"/>
        <v>0</v>
      </c>
      <c r="I66" s="408"/>
      <c r="J66" s="408"/>
    </row>
    <row r="67" spans="1:10" ht="12.75" customHeight="1" x14ac:dyDescent="0.2">
      <c r="A67" s="819"/>
      <c r="B67" s="411">
        <v>53206040000000</v>
      </c>
      <c r="C67" s="544" t="s">
        <v>100</v>
      </c>
      <c r="D67" s="574">
        <f t="shared" si="8"/>
        <v>0</v>
      </c>
      <c r="E67" s="574">
        <v>0</v>
      </c>
      <c r="F67" s="575">
        <v>0</v>
      </c>
      <c r="G67" s="564">
        <f t="shared" si="6"/>
        <v>0</v>
      </c>
      <c r="H67" s="566">
        <f t="shared" si="5"/>
        <v>0</v>
      </c>
      <c r="I67" s="408"/>
      <c r="J67" s="408"/>
    </row>
    <row r="68" spans="1:10" ht="12.75" customHeight="1" x14ac:dyDescent="0.2">
      <c r="A68" s="819"/>
      <c r="B68" s="411">
        <v>53206060000000</v>
      </c>
      <c r="C68" s="544" t="s">
        <v>195</v>
      </c>
      <c r="D68" s="574">
        <f t="shared" si="8"/>
        <v>57384</v>
      </c>
      <c r="E68" s="574">
        <v>0</v>
      </c>
      <c r="F68" s="575">
        <v>0</v>
      </c>
      <c r="G68" s="564">
        <f t="shared" si="6"/>
        <v>0</v>
      </c>
      <c r="H68" s="566">
        <f t="shared" si="5"/>
        <v>57384</v>
      </c>
      <c r="I68" s="408"/>
      <c r="J68" s="408"/>
    </row>
    <row r="69" spans="1:10" ht="12.75" customHeight="1" x14ac:dyDescent="0.2">
      <c r="A69" s="819"/>
      <c r="B69" s="411">
        <v>53206070000000</v>
      </c>
      <c r="C69" s="544" t="s">
        <v>102</v>
      </c>
      <c r="D69" s="574">
        <f t="shared" si="8"/>
        <v>56000</v>
      </c>
      <c r="E69" s="574">
        <v>0</v>
      </c>
      <c r="F69" s="575">
        <v>0</v>
      </c>
      <c r="G69" s="564">
        <f t="shared" si="6"/>
        <v>0</v>
      </c>
      <c r="H69" s="566">
        <f t="shared" si="5"/>
        <v>56000</v>
      </c>
      <c r="I69" s="408"/>
      <c r="J69" s="408"/>
    </row>
    <row r="70" spans="1:10" ht="12.75" customHeight="1" x14ac:dyDescent="0.2">
      <c r="A70" s="819"/>
      <c r="B70" s="411">
        <v>53206990000000</v>
      </c>
      <c r="C70" s="544" t="s">
        <v>196</v>
      </c>
      <c r="D70" s="574">
        <f t="shared" si="8"/>
        <v>756800</v>
      </c>
      <c r="E70" s="574">
        <v>0</v>
      </c>
      <c r="F70" s="575">
        <v>0</v>
      </c>
      <c r="G70" s="564">
        <f t="shared" si="6"/>
        <v>0</v>
      </c>
      <c r="H70" s="566">
        <f t="shared" si="5"/>
        <v>756800</v>
      </c>
      <c r="I70" s="408"/>
      <c r="J70" s="408"/>
    </row>
    <row r="71" spans="1:10" ht="12.75" customHeight="1" x14ac:dyDescent="0.2">
      <c r="A71" s="819"/>
      <c r="B71" s="411">
        <v>53208030000000</v>
      </c>
      <c r="C71" s="544" t="s">
        <v>104</v>
      </c>
      <c r="D71" s="574">
        <f t="shared" si="8"/>
        <v>0</v>
      </c>
      <c r="E71" s="574">
        <v>0</v>
      </c>
      <c r="F71" s="575">
        <v>0</v>
      </c>
      <c r="G71" s="564">
        <f t="shared" si="6"/>
        <v>0</v>
      </c>
      <c r="H71" s="566">
        <f t="shared" si="5"/>
        <v>0</v>
      </c>
      <c r="I71" s="408"/>
      <c r="J71" s="408"/>
    </row>
    <row r="72" spans="1:10" ht="12.75" customHeight="1" x14ac:dyDescent="0.2">
      <c r="A72" s="819"/>
      <c r="B72" s="411">
        <v>53206990000000</v>
      </c>
      <c r="C72" s="544" t="s">
        <v>218</v>
      </c>
      <c r="D72" s="574">
        <f t="shared" si="8"/>
        <v>734515.20000000007</v>
      </c>
      <c r="E72" s="574">
        <v>0</v>
      </c>
      <c r="F72" s="575">
        <v>0</v>
      </c>
      <c r="G72" s="564">
        <f t="shared" si="6"/>
        <v>0</v>
      </c>
      <c r="H72" s="566">
        <f>D72+G72</f>
        <v>734515.20000000007</v>
      </c>
      <c r="I72" s="408"/>
      <c r="J72" s="408"/>
    </row>
    <row r="73" spans="1:10" ht="12.75" customHeight="1" x14ac:dyDescent="0.2">
      <c r="A73" s="819"/>
      <c r="B73" s="409"/>
      <c r="C73" s="550" t="s">
        <v>66</v>
      </c>
      <c r="D73" s="560">
        <f>SUM(D74:D74)</f>
        <v>0</v>
      </c>
      <c r="E73" s="561"/>
      <c r="F73" s="561"/>
      <c r="G73" s="560">
        <f>SUM(G74:G74)</f>
        <v>540000</v>
      </c>
      <c r="H73" s="410">
        <f>SUM(H74:H74)</f>
        <v>540000</v>
      </c>
      <c r="I73" s="408"/>
      <c r="J73" s="408"/>
    </row>
    <row r="74" spans="1:10" ht="12.75" customHeight="1" x14ac:dyDescent="0.2">
      <c r="A74" s="819"/>
      <c r="B74" s="580"/>
      <c r="C74" s="581" t="s">
        <v>219</v>
      </c>
      <c r="D74" s="567">
        <v>0</v>
      </c>
      <c r="E74" s="567">
        <v>12000</v>
      </c>
      <c r="F74" s="690">
        <v>45</v>
      </c>
      <c r="G74" s="564">
        <f t="shared" si="6"/>
        <v>540000</v>
      </c>
      <c r="H74" s="582">
        <f t="shared" si="5"/>
        <v>540000</v>
      </c>
      <c r="I74" s="583" t="s">
        <v>220</v>
      </c>
      <c r="J74" s="584">
        <f>+H72+H71+H70+H69+H68+H67+H66+H64+H63+H62+H61+H60+H59+H58+H57+H55+H52+H51+H50+H49+H48+H46+H44+H43+H37+H36+H35+H33+H32+H31+H30+H29+H28+H27+H26+H25+H24+H23</f>
        <v>13207038.4</v>
      </c>
    </row>
    <row r="75" spans="1:10" ht="12.75" customHeight="1" collapsed="1" thickBot="1" x14ac:dyDescent="0.25">
      <c r="A75" s="820"/>
      <c r="B75" s="585"/>
      <c r="C75" s="586" t="s">
        <v>105</v>
      </c>
      <c r="D75" s="587">
        <f>SUM(D12,D39)</f>
        <v>32682113.594440483</v>
      </c>
      <c r="E75" s="588"/>
      <c r="F75" s="588"/>
      <c r="G75" s="587">
        <f>SUM(G12,G39)</f>
        <v>10463520</v>
      </c>
      <c r="H75" s="589">
        <f>SUM(H12,H39)</f>
        <v>43145633.594440483</v>
      </c>
      <c r="I75" s="590" t="s">
        <v>221</v>
      </c>
      <c r="J75" s="591">
        <f>+H75-J74</f>
        <v>29938595.194440484</v>
      </c>
    </row>
    <row r="76" spans="1:10" ht="15.75" customHeight="1" x14ac:dyDescent="0.2">
      <c r="A76" s="893" t="s">
        <v>236</v>
      </c>
      <c r="B76" s="436"/>
      <c r="C76" s="547" t="s">
        <v>11</v>
      </c>
      <c r="D76" s="556">
        <f>SUM(D77+D82)</f>
        <v>18408449.738832876</v>
      </c>
      <c r="E76" s="557"/>
      <c r="F76" s="557"/>
      <c r="G76" s="558">
        <f>SUM(G77,G82)</f>
        <v>3158320</v>
      </c>
      <c r="H76" s="559">
        <f>SUM(H77,H82)</f>
        <v>21566769.738832876</v>
      </c>
      <c r="I76" s="408"/>
      <c r="J76" s="408"/>
    </row>
    <row r="77" spans="1:10" ht="12.75" customHeight="1" x14ac:dyDescent="0.2">
      <c r="A77" s="819"/>
      <c r="B77" s="409"/>
      <c r="C77" s="550" t="s">
        <v>12</v>
      </c>
      <c r="D77" s="560">
        <f>SUM(D78:D81)</f>
        <v>16743406.738832878</v>
      </c>
      <c r="E77" s="561"/>
      <c r="F77" s="561"/>
      <c r="G77" s="562">
        <f>SUM(G78:G81)</f>
        <v>0</v>
      </c>
      <c r="H77" s="410">
        <f>SUM(H78:H81)</f>
        <v>16743406.738832878</v>
      </c>
      <c r="I77" s="408"/>
      <c r="J77" s="408"/>
    </row>
    <row r="78" spans="1:10" ht="12.75" customHeight="1" x14ac:dyDescent="0.2">
      <c r="A78" s="819"/>
      <c r="B78" s="411">
        <v>53103040100000</v>
      </c>
      <c r="C78" s="544" t="s">
        <v>95</v>
      </c>
      <c r="D78" s="563">
        <f>+'F) Remuneraciones'!L23</f>
        <v>16577630.434487998</v>
      </c>
      <c r="E78" s="564">
        <v>0</v>
      </c>
      <c r="F78" s="565">
        <v>0</v>
      </c>
      <c r="G78" s="564">
        <f>E78*F78</f>
        <v>0</v>
      </c>
      <c r="H78" s="566">
        <f>D78+G78</f>
        <v>16577630.434487998</v>
      </c>
      <c r="I78" s="408"/>
      <c r="J78" s="408"/>
    </row>
    <row r="79" spans="1:10" ht="12.75" customHeight="1" x14ac:dyDescent="0.2">
      <c r="A79" s="819"/>
      <c r="B79" s="411">
        <v>53103050000000</v>
      </c>
      <c r="C79" s="544" t="s">
        <v>174</v>
      </c>
      <c r="D79" s="567">
        <v>0</v>
      </c>
      <c r="E79" s="568">
        <v>0</v>
      </c>
      <c r="F79" s="569">
        <v>0</v>
      </c>
      <c r="G79" s="564">
        <f>E79*F79</f>
        <v>0</v>
      </c>
      <c r="H79" s="566">
        <f>D79+G79</f>
        <v>0</v>
      </c>
      <c r="I79" s="408"/>
      <c r="J79" s="408"/>
    </row>
    <row r="80" spans="1:10" ht="12.75" customHeight="1" x14ac:dyDescent="0.2">
      <c r="A80" s="819"/>
      <c r="B80" s="442">
        <v>53103040400000</v>
      </c>
      <c r="C80" s="413" t="s">
        <v>175</v>
      </c>
      <c r="D80" s="567">
        <f>D78*1/100</f>
        <v>165776.30434487999</v>
      </c>
      <c r="E80" s="568">
        <v>0</v>
      </c>
      <c r="F80" s="569">
        <v>0</v>
      </c>
      <c r="G80" s="564">
        <f>E80*F80</f>
        <v>0</v>
      </c>
      <c r="H80" s="566">
        <f>D80+G80</f>
        <v>165776.30434487999</v>
      </c>
      <c r="I80" s="408"/>
      <c r="J80" s="408"/>
    </row>
    <row r="81" spans="1:10" ht="12.75" customHeight="1" x14ac:dyDescent="0.2">
      <c r="A81" s="819"/>
      <c r="B81" s="411">
        <v>53103080010000</v>
      </c>
      <c r="C81" s="544" t="s">
        <v>176</v>
      </c>
      <c r="D81" s="567">
        <v>0</v>
      </c>
      <c r="E81" s="568">
        <v>0</v>
      </c>
      <c r="F81" s="569">
        <v>0</v>
      </c>
      <c r="G81" s="564">
        <f>E81*F81</f>
        <v>0</v>
      </c>
      <c r="H81" s="566">
        <f>D81+G81</f>
        <v>0</v>
      </c>
      <c r="I81" s="408"/>
      <c r="J81" s="408"/>
    </row>
    <row r="82" spans="1:10" ht="12.75" customHeight="1" x14ac:dyDescent="0.2">
      <c r="A82" s="819"/>
      <c r="B82" s="409"/>
      <c r="C82" s="550" t="s">
        <v>16</v>
      </c>
      <c r="D82" s="560">
        <f>SUM(D83:D102)</f>
        <v>1665043</v>
      </c>
      <c r="E82" s="561"/>
      <c r="F82" s="561"/>
      <c r="G82" s="560">
        <f>SUM(G83:G102)</f>
        <v>3158320</v>
      </c>
      <c r="H82" s="410">
        <f>SUM(H83:H102)</f>
        <v>4823363</v>
      </c>
      <c r="I82" s="793">
        <f>+H82+H109+H111+H120</f>
        <v>6035771.7999999998</v>
      </c>
      <c r="J82" s="408"/>
    </row>
    <row r="83" spans="1:10" ht="12.75" customHeight="1" x14ac:dyDescent="0.2">
      <c r="A83" s="819"/>
      <c r="B83" s="411">
        <v>53201010100000</v>
      </c>
      <c r="C83" s="570" t="s">
        <v>177</v>
      </c>
      <c r="D83" s="567">
        <v>0</v>
      </c>
      <c r="E83" s="568">
        <v>1839</v>
      </c>
      <c r="F83" s="569">
        <f>4*20*11</f>
        <v>880</v>
      </c>
      <c r="G83" s="564">
        <f t="shared" ref="G83:G102" si="9">E83*F83</f>
        <v>1618320</v>
      </c>
      <c r="H83" s="566">
        <f t="shared" ref="H83:H88" si="10">D83+G83</f>
        <v>1618320</v>
      </c>
      <c r="I83" s="408"/>
      <c r="J83" s="408"/>
    </row>
    <row r="84" spans="1:10" ht="12.75" customHeight="1" x14ac:dyDescent="0.2">
      <c r="A84" s="819"/>
      <c r="B84" s="411">
        <v>53201010100000</v>
      </c>
      <c r="C84" s="570" t="s">
        <v>178</v>
      </c>
      <c r="D84" s="567">
        <v>0</v>
      </c>
      <c r="E84" s="568">
        <v>1000</v>
      </c>
      <c r="F84" s="569">
        <f>7*20*11</f>
        <v>1540</v>
      </c>
      <c r="G84" s="564">
        <f t="shared" si="9"/>
        <v>1540000</v>
      </c>
      <c r="H84" s="566">
        <f t="shared" si="10"/>
        <v>1540000</v>
      </c>
      <c r="I84" s="408"/>
      <c r="J84" s="408"/>
    </row>
    <row r="85" spans="1:10" ht="12.75" customHeight="1" x14ac:dyDescent="0.2">
      <c r="A85" s="819"/>
      <c r="B85" s="411">
        <v>53201010100000</v>
      </c>
      <c r="C85" s="570" t="s">
        <v>179</v>
      </c>
      <c r="D85" s="567">
        <v>0</v>
      </c>
      <c r="E85" s="568">
        <v>1839</v>
      </c>
      <c r="F85" s="569">
        <v>0</v>
      </c>
      <c r="G85" s="564">
        <f t="shared" si="9"/>
        <v>0</v>
      </c>
      <c r="H85" s="566">
        <f t="shared" si="10"/>
        <v>0</v>
      </c>
      <c r="I85" s="408"/>
      <c r="J85" s="408"/>
    </row>
    <row r="86" spans="1:10" ht="12.75" customHeight="1" x14ac:dyDescent="0.2">
      <c r="A86" s="819"/>
      <c r="B86" s="411">
        <v>53202010100000</v>
      </c>
      <c r="C86" s="544" t="s">
        <v>180</v>
      </c>
      <c r="D86" s="564">
        <f>O14</f>
        <v>20000</v>
      </c>
      <c r="E86" s="564">
        <v>0</v>
      </c>
      <c r="F86" s="592">
        <v>0</v>
      </c>
      <c r="G86" s="564">
        <f t="shared" si="9"/>
        <v>0</v>
      </c>
      <c r="H86" s="566">
        <f t="shared" si="10"/>
        <v>20000</v>
      </c>
      <c r="I86" s="408"/>
      <c r="J86" s="408"/>
    </row>
    <row r="87" spans="1:10" ht="12.75" customHeight="1" x14ac:dyDescent="0.2">
      <c r="A87" s="819"/>
      <c r="B87" s="411">
        <v>53203010100000</v>
      </c>
      <c r="C87" s="544" t="s">
        <v>19</v>
      </c>
      <c r="D87" s="564">
        <f t="shared" ref="D87:D102" si="11">O15</f>
        <v>20000</v>
      </c>
      <c r="E87" s="564">
        <v>0</v>
      </c>
      <c r="F87" s="592">
        <v>0</v>
      </c>
      <c r="G87" s="564">
        <f t="shared" si="9"/>
        <v>0</v>
      </c>
      <c r="H87" s="566">
        <f t="shared" si="10"/>
        <v>20000</v>
      </c>
      <c r="I87" s="408"/>
      <c r="J87" s="408"/>
    </row>
    <row r="88" spans="1:10" ht="12.75" customHeight="1" x14ac:dyDescent="0.2">
      <c r="A88" s="819"/>
      <c r="B88" s="411">
        <v>53203030000000</v>
      </c>
      <c r="C88" s="544" t="s">
        <v>181</v>
      </c>
      <c r="D88" s="564">
        <f t="shared" si="11"/>
        <v>0</v>
      </c>
      <c r="E88" s="564">
        <v>0</v>
      </c>
      <c r="F88" s="592">
        <v>0</v>
      </c>
      <c r="G88" s="564">
        <f t="shared" si="9"/>
        <v>0</v>
      </c>
      <c r="H88" s="566">
        <f t="shared" si="10"/>
        <v>0</v>
      </c>
      <c r="I88" s="408"/>
      <c r="J88" s="408"/>
    </row>
    <row r="89" spans="1:10" ht="12.75" customHeight="1" x14ac:dyDescent="0.2">
      <c r="A89" s="819"/>
      <c r="B89" s="411">
        <v>53204030000000</v>
      </c>
      <c r="C89" s="544" t="s">
        <v>216</v>
      </c>
      <c r="D89" s="564">
        <f t="shared" si="11"/>
        <v>14400</v>
      </c>
      <c r="E89" s="564">
        <v>0</v>
      </c>
      <c r="F89" s="592">
        <v>0</v>
      </c>
      <c r="G89" s="564">
        <f t="shared" si="9"/>
        <v>0</v>
      </c>
      <c r="H89" s="566">
        <f>D89+G89</f>
        <v>14400</v>
      </c>
      <c r="I89" s="408"/>
      <c r="J89" s="408"/>
    </row>
    <row r="90" spans="1:10" ht="12.75" customHeight="1" x14ac:dyDescent="0.2">
      <c r="A90" s="819"/>
      <c r="B90" s="411">
        <v>53204100100001</v>
      </c>
      <c r="C90" s="544" t="s">
        <v>22</v>
      </c>
      <c r="D90" s="564">
        <f t="shared" si="11"/>
        <v>400000</v>
      </c>
      <c r="E90" s="564">
        <v>0</v>
      </c>
      <c r="F90" s="592">
        <v>0</v>
      </c>
      <c r="G90" s="564">
        <f t="shared" si="9"/>
        <v>0</v>
      </c>
      <c r="H90" s="566">
        <f t="shared" ref="H90:H102" si="12">D90+G90</f>
        <v>400000</v>
      </c>
      <c r="I90" s="408"/>
      <c r="J90" s="408"/>
    </row>
    <row r="91" spans="1:10" ht="12.75" customHeight="1" x14ac:dyDescent="0.2">
      <c r="A91" s="819"/>
      <c r="B91" s="411">
        <v>53204130100000</v>
      </c>
      <c r="C91" s="544" t="s">
        <v>183</v>
      </c>
      <c r="D91" s="564">
        <f t="shared" si="11"/>
        <v>0</v>
      </c>
      <c r="E91" s="564">
        <v>0</v>
      </c>
      <c r="F91" s="592">
        <v>0</v>
      </c>
      <c r="G91" s="564">
        <f t="shared" si="9"/>
        <v>0</v>
      </c>
      <c r="H91" s="566">
        <f t="shared" si="12"/>
        <v>0</v>
      </c>
      <c r="I91" s="408"/>
      <c r="J91" s="408"/>
    </row>
    <row r="92" spans="1:10" ht="12.75" customHeight="1" x14ac:dyDescent="0.2">
      <c r="A92" s="819"/>
      <c r="B92" s="411">
        <v>53205010100000</v>
      </c>
      <c r="C92" s="544" t="s">
        <v>24</v>
      </c>
      <c r="D92" s="564">
        <f t="shared" si="11"/>
        <v>257472.40000000002</v>
      </c>
      <c r="E92" s="564">
        <v>0</v>
      </c>
      <c r="F92" s="592">
        <v>0</v>
      </c>
      <c r="G92" s="564">
        <f t="shared" si="9"/>
        <v>0</v>
      </c>
      <c r="H92" s="566">
        <f t="shared" si="12"/>
        <v>257472.40000000002</v>
      </c>
      <c r="I92" s="408"/>
      <c r="J92" s="408"/>
    </row>
    <row r="93" spans="1:10" ht="12.75" customHeight="1" x14ac:dyDescent="0.2">
      <c r="A93" s="819"/>
      <c r="B93" s="411">
        <v>53205020100000</v>
      </c>
      <c r="C93" s="544" t="s">
        <v>25</v>
      </c>
      <c r="D93" s="564">
        <f t="shared" si="11"/>
        <v>285101</v>
      </c>
      <c r="E93" s="564">
        <v>0</v>
      </c>
      <c r="F93" s="592">
        <v>0</v>
      </c>
      <c r="G93" s="564">
        <f t="shared" si="9"/>
        <v>0</v>
      </c>
      <c r="H93" s="566">
        <f t="shared" si="12"/>
        <v>285101</v>
      </c>
      <c r="I93" s="408"/>
      <c r="J93" s="408"/>
    </row>
    <row r="94" spans="1:10" ht="12.75" customHeight="1" x14ac:dyDescent="0.2">
      <c r="A94" s="819"/>
      <c r="B94" s="411">
        <v>53205030100000</v>
      </c>
      <c r="C94" s="544" t="s">
        <v>26</v>
      </c>
      <c r="D94" s="564">
        <f t="shared" si="11"/>
        <v>232069.6</v>
      </c>
      <c r="E94" s="564">
        <v>0</v>
      </c>
      <c r="F94" s="592">
        <v>0</v>
      </c>
      <c r="G94" s="564">
        <f t="shared" si="9"/>
        <v>0</v>
      </c>
      <c r="H94" s="566">
        <f t="shared" si="12"/>
        <v>232069.6</v>
      </c>
      <c r="I94" s="408"/>
      <c r="J94" s="408"/>
    </row>
    <row r="95" spans="1:10" ht="12.75" customHeight="1" x14ac:dyDescent="0.2">
      <c r="A95" s="819"/>
      <c r="B95" s="411">
        <v>53205050100000</v>
      </c>
      <c r="C95" s="544" t="s">
        <v>27</v>
      </c>
      <c r="D95" s="564">
        <f t="shared" si="11"/>
        <v>0</v>
      </c>
      <c r="E95" s="564">
        <v>0</v>
      </c>
      <c r="F95" s="592">
        <v>0</v>
      </c>
      <c r="G95" s="564">
        <f t="shared" si="9"/>
        <v>0</v>
      </c>
      <c r="H95" s="566">
        <f t="shared" si="12"/>
        <v>0</v>
      </c>
      <c r="I95" s="408"/>
      <c r="J95" s="408"/>
    </row>
    <row r="96" spans="1:10" ht="12.75" customHeight="1" x14ac:dyDescent="0.2">
      <c r="A96" s="819"/>
      <c r="B96" s="411">
        <v>53205070100000</v>
      </c>
      <c r="C96" s="544" t="s">
        <v>29</v>
      </c>
      <c r="D96" s="564">
        <f t="shared" si="11"/>
        <v>60000</v>
      </c>
      <c r="E96" s="564">
        <v>0</v>
      </c>
      <c r="F96" s="592">
        <v>0</v>
      </c>
      <c r="G96" s="564">
        <f t="shared" si="9"/>
        <v>0</v>
      </c>
      <c r="H96" s="566">
        <f t="shared" si="12"/>
        <v>60000</v>
      </c>
      <c r="I96" s="408"/>
      <c r="J96" s="408"/>
    </row>
    <row r="97" spans="1:10" ht="12.75" customHeight="1" x14ac:dyDescent="0.2">
      <c r="A97" s="819"/>
      <c r="B97" s="411">
        <v>53208010100000</v>
      </c>
      <c r="C97" s="544" t="s">
        <v>30</v>
      </c>
      <c r="D97" s="564">
        <f t="shared" si="11"/>
        <v>0</v>
      </c>
      <c r="E97" s="564">
        <v>0</v>
      </c>
      <c r="F97" s="592">
        <v>0</v>
      </c>
      <c r="G97" s="564">
        <f t="shared" si="9"/>
        <v>0</v>
      </c>
      <c r="H97" s="566">
        <f t="shared" si="12"/>
        <v>0</v>
      </c>
      <c r="I97" s="408"/>
      <c r="J97" s="408"/>
    </row>
    <row r="98" spans="1:10" ht="12.75" customHeight="1" x14ac:dyDescent="0.2">
      <c r="A98" s="819"/>
      <c r="B98" s="411">
        <v>53208070100001</v>
      </c>
      <c r="C98" s="544" t="s">
        <v>31</v>
      </c>
      <c r="D98" s="564">
        <f t="shared" si="11"/>
        <v>0</v>
      </c>
      <c r="E98" s="564">
        <v>0</v>
      </c>
      <c r="F98" s="592">
        <v>0</v>
      </c>
      <c r="G98" s="564">
        <f t="shared" si="9"/>
        <v>0</v>
      </c>
      <c r="H98" s="566">
        <f t="shared" si="12"/>
        <v>0</v>
      </c>
      <c r="I98" s="408"/>
      <c r="J98" s="408"/>
    </row>
    <row r="99" spans="1:10" ht="12.75" customHeight="1" x14ac:dyDescent="0.2">
      <c r="A99" s="819"/>
      <c r="B99" s="411">
        <v>53208100100001</v>
      </c>
      <c r="C99" s="544" t="s">
        <v>184</v>
      </c>
      <c r="D99" s="564">
        <f t="shared" si="11"/>
        <v>0</v>
      </c>
      <c r="E99" s="564">
        <v>0</v>
      </c>
      <c r="F99" s="592">
        <v>0</v>
      </c>
      <c r="G99" s="564">
        <f t="shared" si="9"/>
        <v>0</v>
      </c>
      <c r="H99" s="566">
        <f t="shared" si="12"/>
        <v>0</v>
      </c>
      <c r="I99" s="408"/>
      <c r="J99" s="408"/>
    </row>
    <row r="100" spans="1:10" ht="12.75" customHeight="1" x14ac:dyDescent="0.2">
      <c r="A100" s="819"/>
      <c r="B100" s="411">
        <v>53211030000000</v>
      </c>
      <c r="C100" s="544" t="s">
        <v>32</v>
      </c>
      <c r="D100" s="564">
        <f t="shared" si="11"/>
        <v>76000</v>
      </c>
      <c r="E100" s="564">
        <v>0</v>
      </c>
      <c r="F100" s="592">
        <v>0</v>
      </c>
      <c r="G100" s="564">
        <f t="shared" si="9"/>
        <v>0</v>
      </c>
      <c r="H100" s="566">
        <f t="shared" si="12"/>
        <v>76000</v>
      </c>
      <c r="I100" s="408"/>
      <c r="J100" s="408"/>
    </row>
    <row r="101" spans="1:10" ht="12.75" customHeight="1" x14ac:dyDescent="0.2">
      <c r="A101" s="819"/>
      <c r="B101" s="411">
        <v>53212020100000</v>
      </c>
      <c r="C101" s="544" t="s">
        <v>185</v>
      </c>
      <c r="D101" s="564">
        <f t="shared" si="11"/>
        <v>300000</v>
      </c>
      <c r="E101" s="564">
        <v>0</v>
      </c>
      <c r="F101" s="592">
        <v>0</v>
      </c>
      <c r="G101" s="564">
        <f t="shared" si="9"/>
        <v>0</v>
      </c>
      <c r="H101" s="566">
        <f t="shared" si="12"/>
        <v>300000</v>
      </c>
      <c r="I101" s="408"/>
      <c r="J101" s="408"/>
    </row>
    <row r="102" spans="1:10" ht="12.75" customHeight="1" x14ac:dyDescent="0.2">
      <c r="A102" s="819"/>
      <c r="B102" s="411">
        <v>53214020000000</v>
      </c>
      <c r="C102" s="544" t="s">
        <v>186</v>
      </c>
      <c r="D102" s="564">
        <f t="shared" si="11"/>
        <v>0</v>
      </c>
      <c r="E102" s="564">
        <v>0</v>
      </c>
      <c r="F102" s="592">
        <v>0</v>
      </c>
      <c r="G102" s="564">
        <f t="shared" si="9"/>
        <v>0</v>
      </c>
      <c r="H102" s="566">
        <f t="shared" si="12"/>
        <v>0</v>
      </c>
      <c r="I102" s="408"/>
      <c r="J102" s="408"/>
    </row>
    <row r="103" spans="1:10" ht="15.75" customHeight="1" x14ac:dyDescent="0.2">
      <c r="A103" s="819"/>
      <c r="B103" s="436"/>
      <c r="C103" s="547" t="s">
        <v>34</v>
      </c>
      <c r="D103" s="414">
        <f>+D104+D109+D111+D120+D129+D137</f>
        <v>1625011.6</v>
      </c>
      <c r="E103" s="573"/>
      <c r="F103" s="573"/>
      <c r="G103" s="414">
        <f>+G104+G109+G111+G120+G129+G137</f>
        <v>259562</v>
      </c>
      <c r="H103" s="414">
        <f>+H104+H109+H111+H120+H129+H137</f>
        <v>1884573.6</v>
      </c>
      <c r="I103" s="408"/>
      <c r="J103" s="408"/>
    </row>
    <row r="104" spans="1:10" ht="12.75" customHeight="1" x14ac:dyDescent="0.2">
      <c r="A104" s="819"/>
      <c r="B104" s="409"/>
      <c r="C104" s="550" t="s">
        <v>35</v>
      </c>
      <c r="D104" s="560">
        <f>SUM(D105:D108)</f>
        <v>66000</v>
      </c>
      <c r="E104" s="561"/>
      <c r="F104" s="561"/>
      <c r="G104" s="560">
        <f>SUM(G105:G108)</f>
        <v>104990</v>
      </c>
      <c r="H104" s="560">
        <f>SUM(H105:H108)</f>
        <v>170990</v>
      </c>
      <c r="I104" s="408"/>
      <c r="J104" s="408"/>
    </row>
    <row r="105" spans="1:10" ht="12.75" customHeight="1" x14ac:dyDescent="0.2">
      <c r="A105" s="819"/>
      <c r="B105" s="411">
        <v>53202020100000</v>
      </c>
      <c r="C105" s="544" t="s">
        <v>187</v>
      </c>
      <c r="D105" s="567">
        <v>0</v>
      </c>
      <c r="E105" s="568">
        <v>20000</v>
      </c>
      <c r="F105" s="690">
        <v>4</v>
      </c>
      <c r="G105" s="564">
        <f>E105*F105</f>
        <v>80000</v>
      </c>
      <c r="H105" s="566">
        <f>D105+G105</f>
        <v>80000</v>
      </c>
      <c r="I105" s="408"/>
      <c r="J105" s="408"/>
    </row>
    <row r="106" spans="1:10" ht="12.75" customHeight="1" x14ac:dyDescent="0.2">
      <c r="A106" s="819"/>
      <c r="B106" s="411">
        <v>53202030000000</v>
      </c>
      <c r="C106" s="544" t="s">
        <v>188</v>
      </c>
      <c r="D106" s="567">
        <v>0</v>
      </c>
      <c r="E106" s="568">
        <v>24990</v>
      </c>
      <c r="F106" s="690">
        <v>1</v>
      </c>
      <c r="G106" s="564">
        <f>E106*F106</f>
        <v>24990</v>
      </c>
      <c r="H106" s="566">
        <f>D106+G106</f>
        <v>24990</v>
      </c>
      <c r="I106" s="408"/>
      <c r="J106" s="408"/>
    </row>
    <row r="107" spans="1:10" ht="12.75" customHeight="1" x14ac:dyDescent="0.2">
      <c r="A107" s="819"/>
      <c r="B107" s="411">
        <v>53211020000000</v>
      </c>
      <c r="C107" s="544" t="s">
        <v>41</v>
      </c>
      <c r="D107" s="574">
        <f>O33</f>
        <v>50000</v>
      </c>
      <c r="E107" s="574">
        <v>0</v>
      </c>
      <c r="F107" s="575">
        <v>0</v>
      </c>
      <c r="G107" s="564">
        <f>E107*F107</f>
        <v>0</v>
      </c>
      <c r="H107" s="566">
        <f>D107+G107</f>
        <v>50000</v>
      </c>
      <c r="I107" s="408"/>
      <c r="J107" s="408"/>
    </row>
    <row r="108" spans="1:10" ht="12.75" customHeight="1" x14ac:dyDescent="0.2">
      <c r="A108" s="819"/>
      <c r="B108" s="411">
        <v>53101040600000</v>
      </c>
      <c r="C108" s="544" t="s">
        <v>189</v>
      </c>
      <c r="D108" s="574">
        <f>O34</f>
        <v>16000</v>
      </c>
      <c r="E108" s="574">
        <v>0</v>
      </c>
      <c r="F108" s="575">
        <v>0</v>
      </c>
      <c r="G108" s="564">
        <f>E108*F108</f>
        <v>0</v>
      </c>
      <c r="H108" s="566">
        <f>D108+G108</f>
        <v>16000</v>
      </c>
      <c r="I108" s="408"/>
      <c r="J108" s="408"/>
    </row>
    <row r="109" spans="1:10" ht="12.75" customHeight="1" x14ac:dyDescent="0.2">
      <c r="A109" s="819"/>
      <c r="B109" s="409"/>
      <c r="C109" s="550" t="s">
        <v>42</v>
      </c>
      <c r="D109" s="560">
        <f>SUM(D110:D110)</f>
        <v>0</v>
      </c>
      <c r="E109" s="561"/>
      <c r="F109" s="561"/>
      <c r="G109" s="576">
        <f>SUM(G110:G110)</f>
        <v>0</v>
      </c>
      <c r="H109" s="577">
        <f>SUM(H110:H110)</f>
        <v>0</v>
      </c>
      <c r="I109" s="408"/>
      <c r="J109" s="408"/>
    </row>
    <row r="110" spans="1:10" ht="12.75" customHeight="1" x14ac:dyDescent="0.2">
      <c r="A110" s="819"/>
      <c r="B110" s="415">
        <v>53205990000000</v>
      </c>
      <c r="C110" s="544" t="s">
        <v>44</v>
      </c>
      <c r="D110" s="574">
        <f>+O36</f>
        <v>0</v>
      </c>
      <c r="E110" s="574">
        <v>0</v>
      </c>
      <c r="F110" s="575">
        <v>0</v>
      </c>
      <c r="G110" s="564">
        <f>E110*F110</f>
        <v>0</v>
      </c>
      <c r="H110" s="566">
        <f>D110+G110</f>
        <v>0</v>
      </c>
      <c r="I110" s="408"/>
      <c r="J110" s="408"/>
    </row>
    <row r="111" spans="1:10" ht="12.75" customHeight="1" x14ac:dyDescent="0.2">
      <c r="A111" s="819"/>
      <c r="B111" s="409"/>
      <c r="C111" s="550" t="s">
        <v>45</v>
      </c>
      <c r="D111" s="560">
        <f>SUM(D112:D119)</f>
        <v>844300</v>
      </c>
      <c r="E111" s="561"/>
      <c r="F111" s="561"/>
      <c r="G111" s="560">
        <f>SUM(G112:G119)</f>
        <v>0</v>
      </c>
      <c r="H111" s="410">
        <f>SUM(H112:H119)</f>
        <v>844300</v>
      </c>
      <c r="I111" s="408"/>
      <c r="J111" s="408"/>
    </row>
    <row r="112" spans="1:10" ht="12.75" customHeight="1" x14ac:dyDescent="0.2">
      <c r="A112" s="819"/>
      <c r="B112" s="411">
        <v>53204010000000</v>
      </c>
      <c r="C112" s="544" t="s">
        <v>47</v>
      </c>
      <c r="D112" s="574">
        <f>+O38</f>
        <v>200000</v>
      </c>
      <c r="E112" s="574">
        <v>0</v>
      </c>
      <c r="F112" s="575">
        <v>0</v>
      </c>
      <c r="G112" s="574">
        <f t="shared" ref="G112:G119" si="13">E112*F112</f>
        <v>0</v>
      </c>
      <c r="H112" s="566">
        <f t="shared" ref="H112:H119" si="14">D112+G112</f>
        <v>200000</v>
      </c>
      <c r="I112" s="408"/>
      <c r="J112" s="408"/>
    </row>
    <row r="113" spans="1:10" ht="12.75" customHeight="1" x14ac:dyDescent="0.2">
      <c r="A113" s="819"/>
      <c r="B113" s="415">
        <v>53204040200000</v>
      </c>
      <c r="C113" s="544" t="s">
        <v>217</v>
      </c>
      <c r="D113" s="574">
        <f t="shared" ref="D113:D119" si="15">+O39</f>
        <v>24000</v>
      </c>
      <c r="E113" s="574">
        <v>0</v>
      </c>
      <c r="F113" s="575">
        <v>0</v>
      </c>
      <c r="G113" s="574">
        <f t="shared" si="13"/>
        <v>0</v>
      </c>
      <c r="H113" s="566">
        <f t="shared" si="14"/>
        <v>24000</v>
      </c>
      <c r="I113" s="408"/>
      <c r="J113" s="408"/>
    </row>
    <row r="114" spans="1:10" ht="12.75" customHeight="1" x14ac:dyDescent="0.2">
      <c r="A114" s="819"/>
      <c r="B114" s="411">
        <v>53204060000000</v>
      </c>
      <c r="C114" s="544" t="s">
        <v>49</v>
      </c>
      <c r="D114" s="574">
        <f t="shared" si="15"/>
        <v>0</v>
      </c>
      <c r="E114" s="574">
        <v>0</v>
      </c>
      <c r="F114" s="575">
        <v>0</v>
      </c>
      <c r="G114" s="574">
        <f t="shared" si="13"/>
        <v>0</v>
      </c>
      <c r="H114" s="566">
        <f t="shared" si="14"/>
        <v>0</v>
      </c>
      <c r="I114" s="408"/>
      <c r="J114" s="408"/>
    </row>
    <row r="115" spans="1:10" ht="12.75" customHeight="1" x14ac:dyDescent="0.2">
      <c r="A115" s="819"/>
      <c r="B115" s="411">
        <v>53204070000000</v>
      </c>
      <c r="C115" s="544" t="s">
        <v>50</v>
      </c>
      <c r="D115" s="574">
        <f t="shared" si="15"/>
        <v>500000</v>
      </c>
      <c r="E115" s="574">
        <v>0</v>
      </c>
      <c r="F115" s="575">
        <v>0</v>
      </c>
      <c r="G115" s="574">
        <f t="shared" si="13"/>
        <v>0</v>
      </c>
      <c r="H115" s="566">
        <f t="shared" si="14"/>
        <v>500000</v>
      </c>
      <c r="I115" s="408"/>
      <c r="J115" s="408"/>
    </row>
    <row r="116" spans="1:10" ht="12.75" customHeight="1" x14ac:dyDescent="0.2">
      <c r="A116" s="819"/>
      <c r="B116" s="411">
        <v>53204080000000</v>
      </c>
      <c r="C116" s="544" t="s">
        <v>51</v>
      </c>
      <c r="D116" s="574">
        <f t="shared" si="15"/>
        <v>50000</v>
      </c>
      <c r="E116" s="574">
        <v>0</v>
      </c>
      <c r="F116" s="575">
        <v>0</v>
      </c>
      <c r="G116" s="574">
        <f t="shared" si="13"/>
        <v>0</v>
      </c>
      <c r="H116" s="566">
        <f t="shared" si="14"/>
        <v>50000</v>
      </c>
      <c r="I116" s="408"/>
      <c r="J116" s="408"/>
    </row>
    <row r="117" spans="1:10" ht="12.75" customHeight="1" x14ac:dyDescent="0.2">
      <c r="A117" s="819"/>
      <c r="B117" s="411">
        <v>53214010000000</v>
      </c>
      <c r="C117" s="544" t="s">
        <v>52</v>
      </c>
      <c r="D117" s="574">
        <f t="shared" si="15"/>
        <v>30000</v>
      </c>
      <c r="E117" s="578">
        <v>0</v>
      </c>
      <c r="F117" s="575">
        <v>0</v>
      </c>
      <c r="G117" s="574">
        <f t="shared" si="13"/>
        <v>0</v>
      </c>
      <c r="H117" s="566">
        <f t="shared" si="14"/>
        <v>30000</v>
      </c>
      <c r="I117" s="408"/>
      <c r="J117" s="408"/>
    </row>
    <row r="118" spans="1:10" ht="12.75" customHeight="1" x14ac:dyDescent="0.2">
      <c r="A118" s="819"/>
      <c r="B118" s="411">
        <v>53214040000000</v>
      </c>
      <c r="C118" s="544" t="s">
        <v>190</v>
      </c>
      <c r="D118" s="574">
        <f t="shared" si="15"/>
        <v>26000</v>
      </c>
      <c r="E118" s="578">
        <v>0</v>
      </c>
      <c r="F118" s="575">
        <v>0</v>
      </c>
      <c r="G118" s="574">
        <f t="shared" si="13"/>
        <v>0</v>
      </c>
      <c r="H118" s="566">
        <f t="shared" si="14"/>
        <v>26000</v>
      </c>
      <c r="I118" s="408"/>
      <c r="J118" s="408"/>
    </row>
    <row r="119" spans="1:10" ht="12.75" customHeight="1" x14ac:dyDescent="0.2">
      <c r="A119" s="819"/>
      <c r="B119" s="442">
        <v>53204020100000</v>
      </c>
      <c r="C119" s="544" t="s">
        <v>182</v>
      </c>
      <c r="D119" s="574">
        <f t="shared" si="15"/>
        <v>14300</v>
      </c>
      <c r="E119" s="574">
        <v>0</v>
      </c>
      <c r="F119" s="575">
        <v>0</v>
      </c>
      <c r="G119" s="574">
        <f t="shared" si="13"/>
        <v>0</v>
      </c>
      <c r="H119" s="566">
        <f t="shared" si="14"/>
        <v>14300</v>
      </c>
      <c r="I119" s="408"/>
      <c r="J119" s="408"/>
    </row>
    <row r="120" spans="1:10" ht="12.75" customHeight="1" x14ac:dyDescent="0.2">
      <c r="A120" s="819"/>
      <c r="B120" s="409"/>
      <c r="C120" s="550" t="s">
        <v>55</v>
      </c>
      <c r="D120" s="560">
        <f>SUM(D121:D128)</f>
        <v>313536.80000000005</v>
      </c>
      <c r="E120" s="561"/>
      <c r="F120" s="561"/>
      <c r="G120" s="560">
        <f>SUM(G121:G128)</f>
        <v>54572</v>
      </c>
      <c r="H120" s="410">
        <f>SUM(H121:H128)</f>
        <v>368108.80000000005</v>
      </c>
      <c r="I120" s="408"/>
      <c r="J120" s="408"/>
    </row>
    <row r="121" spans="1:10" ht="12.75" customHeight="1" x14ac:dyDescent="0.2">
      <c r="A121" s="819"/>
      <c r="B121" s="411">
        <v>53207010000000</v>
      </c>
      <c r="C121" s="544" t="s">
        <v>56</v>
      </c>
      <c r="D121" s="574">
        <f>+O47</f>
        <v>0</v>
      </c>
      <c r="E121" s="574">
        <v>0</v>
      </c>
      <c r="F121" s="575">
        <v>0</v>
      </c>
      <c r="G121" s="574">
        <f t="shared" ref="G121:G128" si="16">E121*F121</f>
        <v>0</v>
      </c>
      <c r="H121" s="566">
        <f t="shared" ref="H121:H128" si="17">D121+G121</f>
        <v>0</v>
      </c>
      <c r="I121" s="408"/>
      <c r="J121" s="408"/>
    </row>
    <row r="122" spans="1:10" ht="12.75" customHeight="1" x14ac:dyDescent="0.2">
      <c r="A122" s="819"/>
      <c r="B122" s="411">
        <v>53207020000000</v>
      </c>
      <c r="C122" s="544" t="s">
        <v>57</v>
      </c>
      <c r="D122" s="574">
        <f>+O48</f>
        <v>0</v>
      </c>
      <c r="E122" s="574">
        <v>0</v>
      </c>
      <c r="F122" s="575">
        <v>0</v>
      </c>
      <c r="G122" s="574">
        <f t="shared" si="16"/>
        <v>0</v>
      </c>
      <c r="H122" s="566">
        <f t="shared" si="17"/>
        <v>0</v>
      </c>
      <c r="I122" s="408"/>
      <c r="J122" s="408"/>
    </row>
    <row r="123" spans="1:10" ht="12.75" customHeight="1" x14ac:dyDescent="0.2">
      <c r="A123" s="819"/>
      <c r="B123" s="411">
        <v>53208020000000</v>
      </c>
      <c r="C123" s="544" t="s">
        <v>173</v>
      </c>
      <c r="D123" s="574">
        <f>+O49</f>
        <v>0</v>
      </c>
      <c r="E123" s="574">
        <v>0</v>
      </c>
      <c r="F123" s="575">
        <v>0</v>
      </c>
      <c r="G123" s="574">
        <f t="shared" si="16"/>
        <v>0</v>
      </c>
      <c r="H123" s="566">
        <f t="shared" si="17"/>
        <v>0</v>
      </c>
      <c r="I123" s="408"/>
      <c r="J123" s="408"/>
    </row>
    <row r="124" spans="1:10" ht="12.75" customHeight="1" x14ac:dyDescent="0.2">
      <c r="A124" s="819"/>
      <c r="B124" s="411">
        <v>53208990000000</v>
      </c>
      <c r="C124" s="544" t="s">
        <v>191</v>
      </c>
      <c r="D124" s="574">
        <f>+O50</f>
        <v>72000</v>
      </c>
      <c r="E124" s="574">
        <v>0</v>
      </c>
      <c r="F124" s="575">
        <v>0</v>
      </c>
      <c r="G124" s="574">
        <f t="shared" si="16"/>
        <v>0</v>
      </c>
      <c r="H124" s="566">
        <f t="shared" si="17"/>
        <v>72000</v>
      </c>
      <c r="I124" s="408"/>
      <c r="J124" s="408"/>
    </row>
    <row r="125" spans="1:10" ht="12.75" customHeight="1" x14ac:dyDescent="0.2">
      <c r="A125" s="819"/>
      <c r="B125" s="442">
        <v>53210020300000</v>
      </c>
      <c r="C125" s="544" t="s">
        <v>193</v>
      </c>
      <c r="D125" s="579">
        <v>0</v>
      </c>
      <c r="E125" s="579">
        <v>7796</v>
      </c>
      <c r="F125" s="689">
        <v>7</v>
      </c>
      <c r="G125" s="564">
        <f t="shared" si="16"/>
        <v>54572</v>
      </c>
      <c r="H125" s="566">
        <f t="shared" si="17"/>
        <v>54572</v>
      </c>
      <c r="I125" s="408"/>
      <c r="J125" s="408"/>
    </row>
    <row r="126" spans="1:10" ht="12.75" customHeight="1" x14ac:dyDescent="0.2">
      <c r="A126" s="819"/>
      <c r="B126" s="411">
        <v>53208990000000</v>
      </c>
      <c r="C126" s="544" t="s">
        <v>194</v>
      </c>
      <c r="D126" s="564">
        <f>+O51</f>
        <v>0</v>
      </c>
      <c r="E126" s="564">
        <v>0</v>
      </c>
      <c r="F126" s="572">
        <v>0</v>
      </c>
      <c r="G126" s="564">
        <f t="shared" si="16"/>
        <v>0</v>
      </c>
      <c r="H126" s="566">
        <f t="shared" si="17"/>
        <v>0</v>
      </c>
      <c r="I126" s="408"/>
      <c r="J126" s="408"/>
    </row>
    <row r="127" spans="1:10" ht="12.75" customHeight="1" x14ac:dyDescent="0.2">
      <c r="A127" s="819"/>
      <c r="B127" s="411">
        <v>53209990000000</v>
      </c>
      <c r="C127" s="544" t="s">
        <v>192</v>
      </c>
      <c r="D127" s="564">
        <f>+O52</f>
        <v>0</v>
      </c>
      <c r="E127" s="564">
        <v>0</v>
      </c>
      <c r="F127" s="572">
        <v>0</v>
      </c>
      <c r="G127" s="564">
        <f t="shared" si="16"/>
        <v>0</v>
      </c>
      <c r="H127" s="566">
        <f t="shared" si="17"/>
        <v>0</v>
      </c>
      <c r="I127" s="408"/>
      <c r="J127" s="408"/>
    </row>
    <row r="128" spans="1:10" ht="12.75" customHeight="1" x14ac:dyDescent="0.2">
      <c r="A128" s="819"/>
      <c r="B128" s="411">
        <v>53210020100000</v>
      </c>
      <c r="C128" s="544" t="s">
        <v>64</v>
      </c>
      <c r="D128" s="564">
        <f>+O53</f>
        <v>241536.80000000002</v>
      </c>
      <c r="E128" s="564">
        <v>0</v>
      </c>
      <c r="F128" s="572">
        <v>0</v>
      </c>
      <c r="G128" s="564">
        <f t="shared" si="16"/>
        <v>0</v>
      </c>
      <c r="H128" s="566">
        <f t="shared" si="17"/>
        <v>241536.80000000002</v>
      </c>
      <c r="I128" s="408"/>
      <c r="J128" s="408"/>
    </row>
    <row r="129" spans="1:10" ht="12.75" customHeight="1" x14ac:dyDescent="0.2">
      <c r="A129" s="819"/>
      <c r="B129" s="409"/>
      <c r="C129" s="550" t="s">
        <v>65</v>
      </c>
      <c r="D129" s="560">
        <f>SUM(D130:D136)</f>
        <v>401174.80000000005</v>
      </c>
      <c r="E129" s="561"/>
      <c r="F129" s="561"/>
      <c r="G129" s="560">
        <f>SUM(G130:G136)</f>
        <v>0</v>
      </c>
      <c r="H129" s="410">
        <f>SUM(H130:H136)</f>
        <v>401174.80000000005</v>
      </c>
      <c r="I129" s="408"/>
      <c r="J129" s="408"/>
    </row>
    <row r="130" spans="1:10" ht="12.75" customHeight="1" x14ac:dyDescent="0.2">
      <c r="A130" s="819"/>
      <c r="B130" s="411">
        <v>53206030000000</v>
      </c>
      <c r="C130" s="544" t="s">
        <v>99</v>
      </c>
      <c r="D130" s="574">
        <f>+O55</f>
        <v>0</v>
      </c>
      <c r="E130" s="574">
        <v>0</v>
      </c>
      <c r="F130" s="575">
        <v>0</v>
      </c>
      <c r="G130" s="564">
        <f t="shared" ref="G130:G136" si="18">E130*F130</f>
        <v>0</v>
      </c>
      <c r="H130" s="566">
        <f t="shared" ref="H130:H135" si="19">D130+G130</f>
        <v>0</v>
      </c>
      <c r="I130" s="408"/>
      <c r="J130" s="408"/>
    </row>
    <row r="131" spans="1:10" ht="12.75" customHeight="1" x14ac:dyDescent="0.2">
      <c r="A131" s="819"/>
      <c r="B131" s="411">
        <v>53206040000000</v>
      </c>
      <c r="C131" s="544" t="s">
        <v>100</v>
      </c>
      <c r="D131" s="574">
        <f t="shared" ref="D131:D136" si="20">+O56</f>
        <v>0</v>
      </c>
      <c r="E131" s="574">
        <v>0</v>
      </c>
      <c r="F131" s="575">
        <v>0</v>
      </c>
      <c r="G131" s="564">
        <f t="shared" si="18"/>
        <v>0</v>
      </c>
      <c r="H131" s="566">
        <f t="shared" si="19"/>
        <v>0</v>
      </c>
      <c r="I131" s="408"/>
      <c r="J131" s="408"/>
    </row>
    <row r="132" spans="1:10" ht="12.75" customHeight="1" x14ac:dyDescent="0.2">
      <c r="A132" s="819"/>
      <c r="B132" s="411">
        <v>53206060000000</v>
      </c>
      <c r="C132" s="544" t="s">
        <v>195</v>
      </c>
      <c r="D132" s="574">
        <f t="shared" si="20"/>
        <v>14346</v>
      </c>
      <c r="E132" s="574">
        <v>0</v>
      </c>
      <c r="F132" s="575">
        <v>0</v>
      </c>
      <c r="G132" s="564">
        <f t="shared" si="18"/>
        <v>0</v>
      </c>
      <c r="H132" s="566">
        <f t="shared" si="19"/>
        <v>14346</v>
      </c>
      <c r="I132" s="408"/>
      <c r="J132" s="408"/>
    </row>
    <row r="133" spans="1:10" ht="12.75" customHeight="1" x14ac:dyDescent="0.2">
      <c r="A133" s="819"/>
      <c r="B133" s="411">
        <v>53206070000000</v>
      </c>
      <c r="C133" s="544" t="s">
        <v>102</v>
      </c>
      <c r="D133" s="574">
        <f t="shared" si="20"/>
        <v>14000</v>
      </c>
      <c r="E133" s="574">
        <v>0</v>
      </c>
      <c r="F133" s="575">
        <v>0</v>
      </c>
      <c r="G133" s="564">
        <f t="shared" si="18"/>
        <v>0</v>
      </c>
      <c r="H133" s="566">
        <f t="shared" si="19"/>
        <v>14000</v>
      </c>
      <c r="I133" s="408"/>
      <c r="J133" s="408"/>
    </row>
    <row r="134" spans="1:10" ht="12.75" customHeight="1" x14ac:dyDescent="0.2">
      <c r="A134" s="819"/>
      <c r="B134" s="411">
        <v>53206990000000</v>
      </c>
      <c r="C134" s="544" t="s">
        <v>196</v>
      </c>
      <c r="D134" s="574">
        <f t="shared" si="20"/>
        <v>189200</v>
      </c>
      <c r="E134" s="574">
        <v>0</v>
      </c>
      <c r="F134" s="575">
        <v>0</v>
      </c>
      <c r="G134" s="564">
        <f t="shared" si="18"/>
        <v>0</v>
      </c>
      <c r="H134" s="566">
        <f t="shared" si="19"/>
        <v>189200</v>
      </c>
      <c r="I134" s="408"/>
      <c r="J134" s="408"/>
    </row>
    <row r="135" spans="1:10" ht="12.75" customHeight="1" x14ac:dyDescent="0.2">
      <c r="A135" s="819"/>
      <c r="B135" s="411">
        <v>53208030000000</v>
      </c>
      <c r="C135" s="544" t="s">
        <v>104</v>
      </c>
      <c r="D135" s="574">
        <f t="shared" si="20"/>
        <v>0</v>
      </c>
      <c r="E135" s="574">
        <v>0</v>
      </c>
      <c r="F135" s="575">
        <v>0</v>
      </c>
      <c r="G135" s="564">
        <f t="shared" si="18"/>
        <v>0</v>
      </c>
      <c r="H135" s="566">
        <f t="shared" si="19"/>
        <v>0</v>
      </c>
      <c r="I135" s="408"/>
      <c r="J135" s="408"/>
    </row>
    <row r="136" spans="1:10" ht="12.75" customHeight="1" x14ac:dyDescent="0.2">
      <c r="A136" s="819"/>
      <c r="B136" s="411">
        <v>53206990000000</v>
      </c>
      <c r="C136" s="544" t="s">
        <v>218</v>
      </c>
      <c r="D136" s="574">
        <f t="shared" si="20"/>
        <v>183628.80000000002</v>
      </c>
      <c r="E136" s="574">
        <v>0</v>
      </c>
      <c r="F136" s="575">
        <v>0</v>
      </c>
      <c r="G136" s="564">
        <f t="shared" si="18"/>
        <v>0</v>
      </c>
      <c r="H136" s="566">
        <f>D136+G136</f>
        <v>183628.80000000002</v>
      </c>
      <c r="I136" s="408"/>
      <c r="J136" s="408"/>
    </row>
    <row r="137" spans="1:10" ht="12.75" customHeight="1" x14ac:dyDescent="0.2">
      <c r="A137" s="819"/>
      <c r="B137" s="409"/>
      <c r="C137" s="550" t="s">
        <v>66</v>
      </c>
      <c r="D137" s="560">
        <f>SUM(D138:D138)</f>
        <v>0</v>
      </c>
      <c r="E137" s="561"/>
      <c r="F137" s="561"/>
      <c r="G137" s="560">
        <f>SUM(G138:G138)</f>
        <v>100000</v>
      </c>
      <c r="H137" s="410">
        <f>SUM(H138:H138)</f>
        <v>100000</v>
      </c>
      <c r="I137" s="408"/>
      <c r="J137" s="408"/>
    </row>
    <row r="138" spans="1:10" ht="12.75" customHeight="1" x14ac:dyDescent="0.2">
      <c r="A138" s="819"/>
      <c r="B138" s="580"/>
      <c r="C138" s="581" t="s">
        <v>219</v>
      </c>
      <c r="D138" s="567">
        <v>0</v>
      </c>
      <c r="E138" s="567">
        <v>10000</v>
      </c>
      <c r="F138" s="690">
        <v>10</v>
      </c>
      <c r="G138" s="564">
        <f>E138*F138</f>
        <v>100000</v>
      </c>
      <c r="H138" s="582">
        <f>D138+G138</f>
        <v>100000</v>
      </c>
      <c r="I138" s="583" t="s">
        <v>220</v>
      </c>
      <c r="J138" s="584">
        <f>+H136+H135+H134+H133+H132+H131+H130+H128+H127+H126+H125+H124+H123+H122+H121+H119+H116+H115+H114+H113+H112+H110+H108+H107+H101+H100+H99+H97+H96+H95+H94+H93+H92+H91+H90+H89+H88+H87</f>
        <v>3268626.6</v>
      </c>
    </row>
    <row r="139" spans="1:10" ht="12.75" customHeight="1" collapsed="1" thickBot="1" x14ac:dyDescent="0.25">
      <c r="A139" s="820"/>
      <c r="B139" s="585"/>
      <c r="C139" s="586" t="s">
        <v>105</v>
      </c>
      <c r="D139" s="587">
        <f>SUM(D76,D103)</f>
        <v>20033461.338832878</v>
      </c>
      <c r="E139" s="588"/>
      <c r="F139" s="588"/>
      <c r="G139" s="587">
        <f>SUM(G76,G103)</f>
        <v>3417882</v>
      </c>
      <c r="H139" s="589">
        <f>SUM(H76,H103)</f>
        <v>23451343.338832878</v>
      </c>
      <c r="I139" s="590" t="s">
        <v>221</v>
      </c>
      <c r="J139" s="591">
        <f>+H139-J138</f>
        <v>20182716.738832876</v>
      </c>
    </row>
    <row r="140" spans="1:10" ht="31.5" customHeight="1" x14ac:dyDescent="0.2">
      <c r="A140" s="890" t="s">
        <v>237</v>
      </c>
      <c r="B140" s="593"/>
      <c r="C140" s="594" t="s">
        <v>11</v>
      </c>
      <c r="D140" s="595">
        <f>SUM(D141,D146)</f>
        <v>0</v>
      </c>
      <c r="E140" s="596"/>
      <c r="F140" s="596"/>
      <c r="G140" s="597">
        <f>SUM(G141,G146)</f>
        <v>0</v>
      </c>
      <c r="H140" s="598">
        <f>SUM(H141,H146)</f>
        <v>0</v>
      </c>
      <c r="I140" s="599"/>
      <c r="J140" s="599"/>
    </row>
    <row r="141" spans="1:10" ht="15.75" customHeight="1" x14ac:dyDescent="0.2">
      <c r="A141" s="891"/>
      <c r="B141" s="600"/>
      <c r="C141" s="601" t="s">
        <v>12</v>
      </c>
      <c r="D141" s="602">
        <f>SUM(D142:D145)</f>
        <v>0</v>
      </c>
      <c r="E141" s="603"/>
      <c r="F141" s="603"/>
      <c r="G141" s="604">
        <f>SUM(G142:G145)</f>
        <v>0</v>
      </c>
      <c r="H141" s="605">
        <f>SUM(H142:H145)</f>
        <v>0</v>
      </c>
      <c r="I141" s="599"/>
      <c r="J141" s="599"/>
    </row>
    <row r="142" spans="1:10" ht="15.75" customHeight="1" x14ac:dyDescent="0.2">
      <c r="A142" s="891"/>
      <c r="B142" s="606">
        <v>53103040100000</v>
      </c>
      <c r="C142" s="607" t="s">
        <v>95</v>
      </c>
      <c r="D142" s="608">
        <f>'F) Remuneraciones'!L31</f>
        <v>0</v>
      </c>
      <c r="E142" s="609">
        <v>0</v>
      </c>
      <c r="F142" s="610">
        <v>0</v>
      </c>
      <c r="G142" s="611">
        <f>E142*F142</f>
        <v>0</v>
      </c>
      <c r="H142" s="612">
        <f>D142+G142</f>
        <v>0</v>
      </c>
      <c r="I142" s="599"/>
      <c r="J142" s="599"/>
    </row>
    <row r="143" spans="1:10" ht="15.75" customHeight="1" x14ac:dyDescent="0.2">
      <c r="A143" s="891"/>
      <c r="B143" s="606">
        <v>53103050000000</v>
      </c>
      <c r="C143" s="607" t="s">
        <v>174</v>
      </c>
      <c r="D143" s="613">
        <v>0</v>
      </c>
      <c r="E143" s="614">
        <v>0</v>
      </c>
      <c r="F143" s="615">
        <v>0</v>
      </c>
      <c r="G143" s="611">
        <f>E143*F143</f>
        <v>0</v>
      </c>
      <c r="H143" s="612">
        <f>D143+G143</f>
        <v>0</v>
      </c>
      <c r="I143" s="599"/>
      <c r="J143" s="599"/>
    </row>
    <row r="144" spans="1:10" ht="15.75" customHeight="1" x14ac:dyDescent="0.2">
      <c r="A144" s="891"/>
      <c r="B144" s="616">
        <v>53103040400000</v>
      </c>
      <c r="C144" s="617" t="s">
        <v>175</v>
      </c>
      <c r="D144" s="613">
        <v>0</v>
      </c>
      <c r="E144" s="614">
        <v>0</v>
      </c>
      <c r="F144" s="615">
        <v>0</v>
      </c>
      <c r="G144" s="611">
        <f>E144*F144</f>
        <v>0</v>
      </c>
      <c r="H144" s="612">
        <f>D144+G144</f>
        <v>0</v>
      </c>
      <c r="I144" s="599"/>
      <c r="J144" s="599"/>
    </row>
    <row r="145" spans="1:10" ht="15.75" customHeight="1" x14ac:dyDescent="0.2">
      <c r="A145" s="891"/>
      <c r="B145" s="606">
        <v>53103080010000</v>
      </c>
      <c r="C145" s="607" t="s">
        <v>176</v>
      </c>
      <c r="D145" s="613">
        <v>0</v>
      </c>
      <c r="E145" s="614">
        <v>0</v>
      </c>
      <c r="F145" s="615">
        <v>0</v>
      </c>
      <c r="G145" s="611">
        <f>E145*F145</f>
        <v>0</v>
      </c>
      <c r="H145" s="612">
        <f>D145+G145</f>
        <v>0</v>
      </c>
      <c r="I145" s="599"/>
      <c r="J145" s="599"/>
    </row>
    <row r="146" spans="1:10" ht="15.75" customHeight="1" x14ac:dyDescent="0.2">
      <c r="A146" s="891"/>
      <c r="B146" s="600"/>
      <c r="C146" s="601" t="s">
        <v>16</v>
      </c>
      <c r="D146" s="602">
        <f>SUM(D147:D166)</f>
        <v>0</v>
      </c>
      <c r="E146" s="603"/>
      <c r="F146" s="603"/>
      <c r="G146" s="602">
        <f>SUM(G147:G166)</f>
        <v>0</v>
      </c>
      <c r="H146" s="605">
        <f>SUM(H147:H166)</f>
        <v>0</v>
      </c>
      <c r="I146" s="599"/>
      <c r="J146" s="599"/>
    </row>
    <row r="147" spans="1:10" ht="15.75" customHeight="1" x14ac:dyDescent="0.2">
      <c r="A147" s="891"/>
      <c r="B147" s="606">
        <v>53201010100000</v>
      </c>
      <c r="C147" s="618" t="s">
        <v>177</v>
      </c>
      <c r="D147" s="613">
        <v>0</v>
      </c>
      <c r="E147" s="614">
        <v>0</v>
      </c>
      <c r="F147" s="615">
        <v>0</v>
      </c>
      <c r="G147" s="611">
        <f t="shared" ref="G147:G166" si="21">E147*F147</f>
        <v>0</v>
      </c>
      <c r="H147" s="612">
        <f t="shared" ref="H147:H166" si="22">D147+G147</f>
        <v>0</v>
      </c>
      <c r="I147" s="599"/>
      <c r="J147" s="599"/>
    </row>
    <row r="148" spans="1:10" ht="15.75" customHeight="1" x14ac:dyDescent="0.2">
      <c r="A148" s="891"/>
      <c r="B148" s="606">
        <v>53201010100000</v>
      </c>
      <c r="C148" s="618" t="s">
        <v>178</v>
      </c>
      <c r="D148" s="613">
        <v>0</v>
      </c>
      <c r="E148" s="614">
        <v>0</v>
      </c>
      <c r="F148" s="615">
        <v>0</v>
      </c>
      <c r="G148" s="611">
        <f t="shared" si="21"/>
        <v>0</v>
      </c>
      <c r="H148" s="612">
        <f t="shared" si="22"/>
        <v>0</v>
      </c>
      <c r="I148" s="599"/>
      <c r="J148" s="599"/>
    </row>
    <row r="149" spans="1:10" ht="15.75" customHeight="1" x14ac:dyDescent="0.2">
      <c r="A149" s="891"/>
      <c r="B149" s="606">
        <v>53201010100000</v>
      </c>
      <c r="C149" s="618" t="s">
        <v>179</v>
      </c>
      <c r="D149" s="613">
        <v>0</v>
      </c>
      <c r="E149" s="614">
        <v>0</v>
      </c>
      <c r="F149" s="615">
        <v>0</v>
      </c>
      <c r="G149" s="611">
        <f t="shared" si="21"/>
        <v>0</v>
      </c>
      <c r="H149" s="612">
        <f t="shared" si="22"/>
        <v>0</v>
      </c>
      <c r="I149" s="599"/>
      <c r="J149" s="599"/>
    </row>
    <row r="150" spans="1:10" ht="15.75" customHeight="1" x14ac:dyDescent="0.2">
      <c r="A150" s="891"/>
      <c r="B150" s="606">
        <v>53202010100000</v>
      </c>
      <c r="C150" s="607" t="s">
        <v>180</v>
      </c>
      <c r="D150" s="613">
        <v>0</v>
      </c>
      <c r="E150" s="614">
        <v>0</v>
      </c>
      <c r="F150" s="615">
        <v>0</v>
      </c>
      <c r="G150" s="611">
        <f t="shared" si="21"/>
        <v>0</v>
      </c>
      <c r="H150" s="612">
        <f t="shared" si="22"/>
        <v>0</v>
      </c>
      <c r="I150" s="599"/>
      <c r="J150" s="599"/>
    </row>
    <row r="151" spans="1:10" ht="15.75" customHeight="1" x14ac:dyDescent="0.2">
      <c r="A151" s="891"/>
      <c r="B151" s="606">
        <v>53203010100000</v>
      </c>
      <c r="C151" s="607" t="s">
        <v>19</v>
      </c>
      <c r="D151" s="619">
        <v>0</v>
      </c>
      <c r="E151" s="620">
        <v>0</v>
      </c>
      <c r="F151" s="621">
        <v>0</v>
      </c>
      <c r="G151" s="611">
        <f t="shared" si="21"/>
        <v>0</v>
      </c>
      <c r="H151" s="612">
        <f t="shared" si="22"/>
        <v>0</v>
      </c>
      <c r="I151" s="599"/>
      <c r="J151" s="599"/>
    </row>
    <row r="152" spans="1:10" ht="15.75" customHeight="1" x14ac:dyDescent="0.2">
      <c r="A152" s="891"/>
      <c r="B152" s="606">
        <v>53203030000000</v>
      </c>
      <c r="C152" s="607" t="s">
        <v>181</v>
      </c>
      <c r="D152" s="619">
        <v>0</v>
      </c>
      <c r="E152" s="620">
        <v>0</v>
      </c>
      <c r="F152" s="621">
        <v>0</v>
      </c>
      <c r="G152" s="611">
        <f t="shared" si="21"/>
        <v>0</v>
      </c>
      <c r="H152" s="612">
        <f t="shared" si="22"/>
        <v>0</v>
      </c>
      <c r="I152" s="599"/>
      <c r="J152" s="599"/>
    </row>
    <row r="153" spans="1:10" ht="15.75" customHeight="1" x14ac:dyDescent="0.2">
      <c r="A153" s="891"/>
      <c r="B153" s="606">
        <v>53204030000000</v>
      </c>
      <c r="C153" s="607" t="s">
        <v>216</v>
      </c>
      <c r="D153" s="619">
        <v>0</v>
      </c>
      <c r="E153" s="620">
        <v>0</v>
      </c>
      <c r="F153" s="621">
        <v>0</v>
      </c>
      <c r="G153" s="611">
        <f t="shared" si="21"/>
        <v>0</v>
      </c>
      <c r="H153" s="612">
        <f>D153+G153</f>
        <v>0</v>
      </c>
      <c r="I153" s="599"/>
      <c r="J153" s="599"/>
    </row>
    <row r="154" spans="1:10" ht="15.75" customHeight="1" x14ac:dyDescent="0.2">
      <c r="A154" s="891"/>
      <c r="B154" s="606">
        <v>53204100100001</v>
      </c>
      <c r="C154" s="607" t="s">
        <v>22</v>
      </c>
      <c r="D154" s="619">
        <v>0</v>
      </c>
      <c r="E154" s="620">
        <v>0</v>
      </c>
      <c r="F154" s="621">
        <v>0</v>
      </c>
      <c r="G154" s="611">
        <f t="shared" si="21"/>
        <v>0</v>
      </c>
      <c r="H154" s="612">
        <f t="shared" si="22"/>
        <v>0</v>
      </c>
      <c r="I154" s="599"/>
      <c r="J154" s="599"/>
    </row>
    <row r="155" spans="1:10" ht="15.75" customHeight="1" x14ac:dyDescent="0.2">
      <c r="A155" s="891"/>
      <c r="B155" s="606">
        <v>53204130100000</v>
      </c>
      <c r="C155" s="607" t="s">
        <v>183</v>
      </c>
      <c r="D155" s="619">
        <v>0</v>
      </c>
      <c r="E155" s="620">
        <v>0</v>
      </c>
      <c r="F155" s="621">
        <v>0</v>
      </c>
      <c r="G155" s="611">
        <f t="shared" si="21"/>
        <v>0</v>
      </c>
      <c r="H155" s="612">
        <f t="shared" si="22"/>
        <v>0</v>
      </c>
      <c r="I155" s="599"/>
      <c r="J155" s="599"/>
    </row>
    <row r="156" spans="1:10" ht="15.75" customHeight="1" x14ac:dyDescent="0.2">
      <c r="A156" s="891"/>
      <c r="B156" s="606">
        <v>53205010100000</v>
      </c>
      <c r="C156" s="607" t="s">
        <v>24</v>
      </c>
      <c r="D156" s="619">
        <v>0</v>
      </c>
      <c r="E156" s="620">
        <v>0</v>
      </c>
      <c r="F156" s="621">
        <v>0</v>
      </c>
      <c r="G156" s="611">
        <f t="shared" si="21"/>
        <v>0</v>
      </c>
      <c r="H156" s="612">
        <f t="shared" si="22"/>
        <v>0</v>
      </c>
      <c r="I156" s="599"/>
      <c r="J156" s="599"/>
    </row>
    <row r="157" spans="1:10" ht="15.75" customHeight="1" x14ac:dyDescent="0.2">
      <c r="A157" s="891"/>
      <c r="B157" s="606">
        <v>53205020100000</v>
      </c>
      <c r="C157" s="607" t="s">
        <v>25</v>
      </c>
      <c r="D157" s="619">
        <v>0</v>
      </c>
      <c r="E157" s="620">
        <v>0</v>
      </c>
      <c r="F157" s="621">
        <v>0</v>
      </c>
      <c r="G157" s="611">
        <f t="shared" si="21"/>
        <v>0</v>
      </c>
      <c r="H157" s="612">
        <f t="shared" si="22"/>
        <v>0</v>
      </c>
      <c r="I157" s="599"/>
      <c r="J157" s="599"/>
    </row>
    <row r="158" spans="1:10" ht="15.75" customHeight="1" x14ac:dyDescent="0.2">
      <c r="A158" s="891"/>
      <c r="B158" s="606">
        <v>53205030100000</v>
      </c>
      <c r="C158" s="607" t="s">
        <v>26</v>
      </c>
      <c r="D158" s="619">
        <v>0</v>
      </c>
      <c r="E158" s="620">
        <v>0</v>
      </c>
      <c r="F158" s="621">
        <v>0</v>
      </c>
      <c r="G158" s="611">
        <f t="shared" si="21"/>
        <v>0</v>
      </c>
      <c r="H158" s="612">
        <f t="shared" si="22"/>
        <v>0</v>
      </c>
      <c r="I158" s="599"/>
      <c r="J158" s="599"/>
    </row>
    <row r="159" spans="1:10" ht="15.75" customHeight="1" x14ac:dyDescent="0.2">
      <c r="A159" s="891"/>
      <c r="B159" s="606">
        <v>53205050100000</v>
      </c>
      <c r="C159" s="607" t="s">
        <v>27</v>
      </c>
      <c r="D159" s="619">
        <v>0</v>
      </c>
      <c r="E159" s="620">
        <v>0</v>
      </c>
      <c r="F159" s="621">
        <v>0</v>
      </c>
      <c r="G159" s="611">
        <f t="shared" si="21"/>
        <v>0</v>
      </c>
      <c r="H159" s="612">
        <f t="shared" si="22"/>
        <v>0</v>
      </c>
      <c r="I159" s="599"/>
      <c r="J159" s="599"/>
    </row>
    <row r="160" spans="1:10" ht="15.75" customHeight="1" x14ac:dyDescent="0.2">
      <c r="A160" s="891"/>
      <c r="B160" s="606">
        <v>53205070100000</v>
      </c>
      <c r="C160" s="607" t="s">
        <v>29</v>
      </c>
      <c r="D160" s="619">
        <v>0</v>
      </c>
      <c r="E160" s="620">
        <v>0</v>
      </c>
      <c r="F160" s="621">
        <v>0</v>
      </c>
      <c r="G160" s="611">
        <f t="shared" si="21"/>
        <v>0</v>
      </c>
      <c r="H160" s="612">
        <f t="shared" si="22"/>
        <v>0</v>
      </c>
      <c r="I160" s="599"/>
      <c r="J160" s="599"/>
    </row>
    <row r="161" spans="1:10" ht="15.75" customHeight="1" x14ac:dyDescent="0.2">
      <c r="A161" s="891"/>
      <c r="B161" s="606">
        <v>53208010100000</v>
      </c>
      <c r="C161" s="607" t="s">
        <v>30</v>
      </c>
      <c r="D161" s="619">
        <v>0</v>
      </c>
      <c r="E161" s="620">
        <v>0</v>
      </c>
      <c r="F161" s="621">
        <v>0</v>
      </c>
      <c r="G161" s="611">
        <f t="shared" si="21"/>
        <v>0</v>
      </c>
      <c r="H161" s="612">
        <f t="shared" si="22"/>
        <v>0</v>
      </c>
      <c r="I161" s="599"/>
      <c r="J161" s="599"/>
    </row>
    <row r="162" spans="1:10" ht="15.75" customHeight="1" x14ac:dyDescent="0.2">
      <c r="A162" s="891"/>
      <c r="B162" s="606">
        <v>53208070100001</v>
      </c>
      <c r="C162" s="607" t="s">
        <v>31</v>
      </c>
      <c r="D162" s="613">
        <v>0</v>
      </c>
      <c r="E162" s="614">
        <v>0</v>
      </c>
      <c r="F162" s="615">
        <v>0</v>
      </c>
      <c r="G162" s="611">
        <f t="shared" si="21"/>
        <v>0</v>
      </c>
      <c r="H162" s="612">
        <f t="shared" si="22"/>
        <v>0</v>
      </c>
      <c r="I162" s="599"/>
      <c r="J162" s="599"/>
    </row>
    <row r="163" spans="1:10" ht="15.75" customHeight="1" x14ac:dyDescent="0.2">
      <c r="A163" s="891"/>
      <c r="B163" s="606">
        <v>53208100100001</v>
      </c>
      <c r="C163" s="607" t="s">
        <v>184</v>
      </c>
      <c r="D163" s="619">
        <v>0</v>
      </c>
      <c r="E163" s="620">
        <v>0</v>
      </c>
      <c r="F163" s="621">
        <v>0</v>
      </c>
      <c r="G163" s="611">
        <f t="shared" si="21"/>
        <v>0</v>
      </c>
      <c r="H163" s="612">
        <f t="shared" si="22"/>
        <v>0</v>
      </c>
      <c r="I163" s="599"/>
      <c r="J163" s="599"/>
    </row>
    <row r="164" spans="1:10" ht="15.75" customHeight="1" x14ac:dyDescent="0.2">
      <c r="A164" s="891"/>
      <c r="B164" s="606">
        <v>53211030000000</v>
      </c>
      <c r="C164" s="607" t="s">
        <v>32</v>
      </c>
      <c r="D164" s="619">
        <v>0</v>
      </c>
      <c r="E164" s="620">
        <v>0</v>
      </c>
      <c r="F164" s="621">
        <v>0</v>
      </c>
      <c r="G164" s="611">
        <f t="shared" si="21"/>
        <v>0</v>
      </c>
      <c r="H164" s="612">
        <f t="shared" si="22"/>
        <v>0</v>
      </c>
      <c r="I164" s="599"/>
      <c r="J164" s="599"/>
    </row>
    <row r="165" spans="1:10" ht="15.75" customHeight="1" x14ac:dyDescent="0.2">
      <c r="A165" s="891"/>
      <c r="B165" s="606">
        <v>53212020100000</v>
      </c>
      <c r="C165" s="607" t="s">
        <v>185</v>
      </c>
      <c r="D165" s="619">
        <v>0</v>
      </c>
      <c r="E165" s="620">
        <v>0</v>
      </c>
      <c r="F165" s="621">
        <v>0</v>
      </c>
      <c r="G165" s="611">
        <f t="shared" si="21"/>
        <v>0</v>
      </c>
      <c r="H165" s="612">
        <f t="shared" si="22"/>
        <v>0</v>
      </c>
      <c r="I165" s="599"/>
      <c r="J165" s="599"/>
    </row>
    <row r="166" spans="1:10" ht="15.75" customHeight="1" x14ac:dyDescent="0.2">
      <c r="A166" s="891"/>
      <c r="B166" s="606">
        <v>53214020000000</v>
      </c>
      <c r="C166" s="607" t="s">
        <v>186</v>
      </c>
      <c r="D166" s="613">
        <v>0</v>
      </c>
      <c r="E166" s="614">
        <v>0</v>
      </c>
      <c r="F166" s="615">
        <v>0</v>
      </c>
      <c r="G166" s="611">
        <f t="shared" si="21"/>
        <v>0</v>
      </c>
      <c r="H166" s="612">
        <f t="shared" si="22"/>
        <v>0</v>
      </c>
      <c r="I166" s="599"/>
      <c r="J166" s="599"/>
    </row>
    <row r="167" spans="1:10" ht="15.75" customHeight="1" x14ac:dyDescent="0.2">
      <c r="A167" s="891"/>
      <c r="B167" s="593"/>
      <c r="C167" s="594" t="s">
        <v>34</v>
      </c>
      <c r="D167" s="595">
        <v>0</v>
      </c>
      <c r="E167" s="596"/>
      <c r="F167" s="596"/>
      <c r="G167" s="595">
        <f>SUM(G168,G173,G175,G184,G193,G201)</f>
        <v>0</v>
      </c>
      <c r="H167" s="622">
        <f>SUM(H168,H173,H175,H184,H193,H201)</f>
        <v>0</v>
      </c>
      <c r="I167" s="599"/>
      <c r="J167" s="599"/>
    </row>
    <row r="168" spans="1:10" ht="15.75" customHeight="1" x14ac:dyDescent="0.2">
      <c r="A168" s="891"/>
      <c r="B168" s="600"/>
      <c r="C168" s="601" t="s">
        <v>35</v>
      </c>
      <c r="D168" s="602">
        <f>SUM(D169:D172)</f>
        <v>0</v>
      </c>
      <c r="E168" s="603"/>
      <c r="F168" s="603"/>
      <c r="G168" s="623">
        <f>SUM(G169:G172)</f>
        <v>0</v>
      </c>
      <c r="H168" s="624">
        <f>SUM(H169:H172)</f>
        <v>0</v>
      </c>
      <c r="I168" s="599"/>
      <c r="J168" s="599"/>
    </row>
    <row r="169" spans="1:10" ht="15.75" customHeight="1" x14ac:dyDescent="0.2">
      <c r="A169" s="891"/>
      <c r="B169" s="606">
        <v>53202020100000</v>
      </c>
      <c r="C169" s="607" t="s">
        <v>187</v>
      </c>
      <c r="D169" s="613">
        <v>0</v>
      </c>
      <c r="E169" s="614">
        <v>0</v>
      </c>
      <c r="F169" s="615">
        <v>0</v>
      </c>
      <c r="G169" s="611">
        <f>E169*F169</f>
        <v>0</v>
      </c>
      <c r="H169" s="612">
        <f t="shared" ref="H169:H202" si="23">D169+G169</f>
        <v>0</v>
      </c>
      <c r="I169" s="599"/>
      <c r="J169" s="599"/>
    </row>
    <row r="170" spans="1:10" ht="15.75" customHeight="1" x14ac:dyDescent="0.2">
      <c r="A170" s="891"/>
      <c r="B170" s="606">
        <v>53202030000000</v>
      </c>
      <c r="C170" s="607" t="s">
        <v>188</v>
      </c>
      <c r="D170" s="613">
        <v>0</v>
      </c>
      <c r="E170" s="614">
        <v>0</v>
      </c>
      <c r="F170" s="615">
        <v>0</v>
      </c>
      <c r="G170" s="611">
        <f t="shared" ref="G170:G202" si="24">E170*F170</f>
        <v>0</v>
      </c>
      <c r="H170" s="612">
        <f t="shared" si="23"/>
        <v>0</v>
      </c>
      <c r="I170" s="599"/>
      <c r="J170" s="599"/>
    </row>
    <row r="171" spans="1:10" ht="15.75" customHeight="1" x14ac:dyDescent="0.2">
      <c r="A171" s="891"/>
      <c r="B171" s="606">
        <v>53211020000000</v>
      </c>
      <c r="C171" s="607" t="s">
        <v>41</v>
      </c>
      <c r="D171" s="620">
        <f>O111</f>
        <v>0</v>
      </c>
      <c r="E171" s="620">
        <v>0</v>
      </c>
      <c r="F171" s="620">
        <v>0</v>
      </c>
      <c r="G171" s="611">
        <f t="shared" si="24"/>
        <v>0</v>
      </c>
      <c r="H171" s="612">
        <f t="shared" si="23"/>
        <v>0</v>
      </c>
      <c r="I171" s="599"/>
      <c r="J171" s="599"/>
    </row>
    <row r="172" spans="1:10" ht="15.75" customHeight="1" x14ac:dyDescent="0.2">
      <c r="A172" s="891"/>
      <c r="B172" s="606">
        <v>53101040600000</v>
      </c>
      <c r="C172" s="607" t="s">
        <v>189</v>
      </c>
      <c r="D172" s="620">
        <f>O112</f>
        <v>0</v>
      </c>
      <c r="E172" s="620">
        <v>0</v>
      </c>
      <c r="F172" s="620">
        <v>0</v>
      </c>
      <c r="G172" s="611">
        <f t="shared" si="24"/>
        <v>0</v>
      </c>
      <c r="H172" s="612">
        <f t="shared" si="23"/>
        <v>0</v>
      </c>
      <c r="I172" s="599"/>
      <c r="J172" s="599"/>
    </row>
    <row r="173" spans="1:10" ht="15.75" customHeight="1" x14ac:dyDescent="0.2">
      <c r="A173" s="891"/>
      <c r="B173" s="600"/>
      <c r="C173" s="601" t="s">
        <v>42</v>
      </c>
      <c r="D173" s="602">
        <f>SUM(D174:D174)</f>
        <v>0</v>
      </c>
      <c r="E173" s="603"/>
      <c r="F173" s="603"/>
      <c r="G173" s="623">
        <f>SUM(G174:G174)</f>
        <v>0</v>
      </c>
      <c r="H173" s="624">
        <f>SUM(H174:H174)</f>
        <v>0</v>
      </c>
      <c r="I173" s="599"/>
      <c r="J173" s="599"/>
    </row>
    <row r="174" spans="1:10" ht="15.75" customHeight="1" x14ac:dyDescent="0.2">
      <c r="A174" s="891"/>
      <c r="B174" s="625">
        <v>53205990000000</v>
      </c>
      <c r="C174" s="607" t="s">
        <v>44</v>
      </c>
      <c r="D174" s="620">
        <v>0</v>
      </c>
      <c r="E174" s="620">
        <v>0</v>
      </c>
      <c r="F174" s="620">
        <v>0</v>
      </c>
      <c r="G174" s="611">
        <f t="shared" si="24"/>
        <v>0</v>
      </c>
      <c r="H174" s="612">
        <f t="shared" si="23"/>
        <v>0</v>
      </c>
      <c r="I174" s="599"/>
      <c r="J174" s="599"/>
    </row>
    <row r="175" spans="1:10" ht="15.75" customHeight="1" x14ac:dyDescent="0.2">
      <c r="A175" s="891"/>
      <c r="B175" s="600"/>
      <c r="C175" s="601" t="s">
        <v>45</v>
      </c>
      <c r="D175" s="602">
        <f>SUM(D176:D183)</f>
        <v>0</v>
      </c>
      <c r="E175" s="603"/>
      <c r="F175" s="603"/>
      <c r="G175" s="602">
        <f>SUM(G176:G183)</f>
        <v>0</v>
      </c>
      <c r="H175" s="605">
        <f>SUM(H176:H183)</f>
        <v>0</v>
      </c>
      <c r="I175" s="599"/>
      <c r="J175" s="599"/>
    </row>
    <row r="176" spans="1:10" ht="15.75" customHeight="1" x14ac:dyDescent="0.2">
      <c r="A176" s="891"/>
      <c r="B176" s="606">
        <v>53204010000000</v>
      </c>
      <c r="C176" s="607" t="s">
        <v>47</v>
      </c>
      <c r="D176" s="620">
        <v>0</v>
      </c>
      <c r="E176" s="620">
        <v>0</v>
      </c>
      <c r="F176" s="620">
        <v>0</v>
      </c>
      <c r="G176" s="611">
        <f t="shared" si="24"/>
        <v>0</v>
      </c>
      <c r="H176" s="612">
        <f t="shared" si="23"/>
        <v>0</v>
      </c>
      <c r="I176" s="599"/>
      <c r="J176" s="599"/>
    </row>
    <row r="177" spans="1:10" ht="15.75" customHeight="1" x14ac:dyDescent="0.2">
      <c r="A177" s="891"/>
      <c r="B177" s="625">
        <v>53204040200000</v>
      </c>
      <c r="C177" s="607" t="s">
        <v>217</v>
      </c>
      <c r="D177" s="620">
        <v>0</v>
      </c>
      <c r="E177" s="620">
        <v>0</v>
      </c>
      <c r="F177" s="620">
        <v>0</v>
      </c>
      <c r="G177" s="611">
        <f t="shared" si="24"/>
        <v>0</v>
      </c>
      <c r="H177" s="612">
        <f t="shared" si="23"/>
        <v>0</v>
      </c>
      <c r="I177" s="599"/>
      <c r="J177" s="599"/>
    </row>
    <row r="178" spans="1:10" ht="15.75" customHeight="1" x14ac:dyDescent="0.2">
      <c r="A178" s="891"/>
      <c r="B178" s="606">
        <v>53204060000000</v>
      </c>
      <c r="C178" s="607" t="s">
        <v>49</v>
      </c>
      <c r="D178" s="620">
        <v>0</v>
      </c>
      <c r="E178" s="620">
        <v>0</v>
      </c>
      <c r="F178" s="620">
        <v>0</v>
      </c>
      <c r="G178" s="611">
        <f t="shared" si="24"/>
        <v>0</v>
      </c>
      <c r="H178" s="612">
        <f t="shared" si="23"/>
        <v>0</v>
      </c>
      <c r="I178" s="599"/>
      <c r="J178" s="599"/>
    </row>
    <row r="179" spans="1:10" ht="15.75" customHeight="1" x14ac:dyDescent="0.2">
      <c r="A179" s="891"/>
      <c r="B179" s="606">
        <v>53204070000000</v>
      </c>
      <c r="C179" s="607" t="s">
        <v>50</v>
      </c>
      <c r="D179" s="620">
        <v>0</v>
      </c>
      <c r="E179" s="620">
        <v>0</v>
      </c>
      <c r="F179" s="620">
        <v>0</v>
      </c>
      <c r="G179" s="611">
        <f t="shared" si="24"/>
        <v>0</v>
      </c>
      <c r="H179" s="612">
        <f t="shared" si="23"/>
        <v>0</v>
      </c>
      <c r="I179" s="599"/>
      <c r="J179" s="599"/>
    </row>
    <row r="180" spans="1:10" ht="15.75" customHeight="1" x14ac:dyDescent="0.2">
      <c r="A180" s="891"/>
      <c r="B180" s="606">
        <v>53204080000000</v>
      </c>
      <c r="C180" s="607" t="s">
        <v>51</v>
      </c>
      <c r="D180" s="620">
        <v>0</v>
      </c>
      <c r="E180" s="620">
        <v>0</v>
      </c>
      <c r="F180" s="620">
        <v>0</v>
      </c>
      <c r="G180" s="611">
        <f t="shared" si="24"/>
        <v>0</v>
      </c>
      <c r="H180" s="612">
        <f t="shared" si="23"/>
        <v>0</v>
      </c>
      <c r="I180" s="599"/>
      <c r="J180" s="599"/>
    </row>
    <row r="181" spans="1:10" ht="15.75" customHeight="1" x14ac:dyDescent="0.2">
      <c r="A181" s="891"/>
      <c r="B181" s="606">
        <v>53214010000000</v>
      </c>
      <c r="C181" s="607" t="s">
        <v>52</v>
      </c>
      <c r="D181" s="626">
        <v>0</v>
      </c>
      <c r="E181" s="626">
        <v>0</v>
      </c>
      <c r="F181" s="626">
        <v>0</v>
      </c>
      <c r="G181" s="611">
        <f t="shared" si="24"/>
        <v>0</v>
      </c>
      <c r="H181" s="612">
        <f t="shared" si="23"/>
        <v>0</v>
      </c>
      <c r="I181" s="599"/>
      <c r="J181" s="599"/>
    </row>
    <row r="182" spans="1:10" ht="15.75" customHeight="1" x14ac:dyDescent="0.2">
      <c r="A182" s="891"/>
      <c r="B182" s="606">
        <v>53214040000000</v>
      </c>
      <c r="C182" s="607" t="s">
        <v>190</v>
      </c>
      <c r="D182" s="626">
        <v>0</v>
      </c>
      <c r="E182" s="626">
        <v>0</v>
      </c>
      <c r="F182" s="626">
        <v>0</v>
      </c>
      <c r="G182" s="611">
        <f t="shared" si="24"/>
        <v>0</v>
      </c>
      <c r="H182" s="612">
        <f t="shared" si="23"/>
        <v>0</v>
      </c>
      <c r="I182" s="599"/>
      <c r="J182" s="599"/>
    </row>
    <row r="183" spans="1:10" ht="15.75" customHeight="1" x14ac:dyDescent="0.2">
      <c r="A183" s="891"/>
      <c r="B183" s="616">
        <v>53204020100000</v>
      </c>
      <c r="C183" s="607" t="s">
        <v>182</v>
      </c>
      <c r="D183" s="620">
        <v>0</v>
      </c>
      <c r="E183" s="620">
        <v>0</v>
      </c>
      <c r="F183" s="620">
        <v>0</v>
      </c>
      <c r="G183" s="611">
        <f t="shared" si="24"/>
        <v>0</v>
      </c>
      <c r="H183" s="612">
        <f t="shared" si="23"/>
        <v>0</v>
      </c>
      <c r="I183" s="599"/>
      <c r="J183" s="599"/>
    </row>
    <row r="184" spans="1:10" ht="15.75" customHeight="1" x14ac:dyDescent="0.2">
      <c r="A184" s="891"/>
      <c r="B184" s="600"/>
      <c r="C184" s="601" t="s">
        <v>55</v>
      </c>
      <c r="D184" s="602">
        <f>SUM(D185:D192)</f>
        <v>0</v>
      </c>
      <c r="E184" s="603"/>
      <c r="F184" s="603"/>
      <c r="G184" s="602">
        <f>SUM(G185:G192)</f>
        <v>0</v>
      </c>
      <c r="H184" s="605">
        <f>SUM(H185:H192)</f>
        <v>0</v>
      </c>
      <c r="I184" s="599"/>
      <c r="J184" s="599"/>
    </row>
    <row r="185" spans="1:10" ht="15.75" customHeight="1" x14ac:dyDescent="0.2">
      <c r="A185" s="891"/>
      <c r="B185" s="606">
        <v>53207010000000</v>
      </c>
      <c r="C185" s="607" t="s">
        <v>56</v>
      </c>
      <c r="D185" s="620">
        <v>0</v>
      </c>
      <c r="E185" s="620">
        <v>0</v>
      </c>
      <c r="F185" s="620">
        <v>0</v>
      </c>
      <c r="G185" s="611">
        <f t="shared" si="24"/>
        <v>0</v>
      </c>
      <c r="H185" s="612">
        <f t="shared" si="23"/>
        <v>0</v>
      </c>
      <c r="I185" s="599"/>
      <c r="J185" s="599"/>
    </row>
    <row r="186" spans="1:10" ht="15.75" customHeight="1" x14ac:dyDescent="0.2">
      <c r="A186" s="891"/>
      <c r="B186" s="606">
        <v>53207020000000</v>
      </c>
      <c r="C186" s="607" t="s">
        <v>57</v>
      </c>
      <c r="D186" s="620">
        <v>0</v>
      </c>
      <c r="E186" s="620">
        <v>0</v>
      </c>
      <c r="F186" s="620">
        <v>0</v>
      </c>
      <c r="G186" s="611">
        <f t="shared" si="24"/>
        <v>0</v>
      </c>
      <c r="H186" s="612">
        <f t="shared" si="23"/>
        <v>0</v>
      </c>
      <c r="I186" s="599"/>
      <c r="J186" s="599"/>
    </row>
    <row r="187" spans="1:10" ht="15.75" customHeight="1" x14ac:dyDescent="0.2">
      <c r="A187" s="891"/>
      <c r="B187" s="606">
        <v>53208020000000</v>
      </c>
      <c r="C187" s="607" t="s">
        <v>173</v>
      </c>
      <c r="D187" s="620">
        <v>0</v>
      </c>
      <c r="E187" s="620">
        <v>0</v>
      </c>
      <c r="F187" s="620">
        <v>0</v>
      </c>
      <c r="G187" s="611">
        <f t="shared" si="24"/>
        <v>0</v>
      </c>
      <c r="H187" s="612">
        <f t="shared" si="23"/>
        <v>0</v>
      </c>
      <c r="I187" s="599"/>
      <c r="J187" s="599"/>
    </row>
    <row r="188" spans="1:10" ht="15.75" customHeight="1" x14ac:dyDescent="0.2">
      <c r="A188" s="891"/>
      <c r="B188" s="606">
        <v>53208990000000</v>
      </c>
      <c r="C188" s="607" t="s">
        <v>191</v>
      </c>
      <c r="D188" s="620">
        <v>0</v>
      </c>
      <c r="E188" s="620">
        <v>0</v>
      </c>
      <c r="F188" s="620">
        <v>0</v>
      </c>
      <c r="G188" s="611">
        <f t="shared" si="24"/>
        <v>0</v>
      </c>
      <c r="H188" s="612">
        <f t="shared" si="23"/>
        <v>0</v>
      </c>
      <c r="I188" s="599"/>
      <c r="J188" s="599"/>
    </row>
    <row r="189" spans="1:10" ht="15.75" customHeight="1" x14ac:dyDescent="0.2">
      <c r="A189" s="891"/>
      <c r="B189" s="616">
        <v>53210020300000</v>
      </c>
      <c r="C189" s="607" t="s">
        <v>193</v>
      </c>
      <c r="D189" s="619">
        <v>0</v>
      </c>
      <c r="E189" s="619">
        <v>0</v>
      </c>
      <c r="F189" s="621">
        <v>0</v>
      </c>
      <c r="G189" s="611">
        <f t="shared" si="24"/>
        <v>0</v>
      </c>
      <c r="H189" s="612">
        <f t="shared" si="23"/>
        <v>0</v>
      </c>
      <c r="I189" s="599"/>
      <c r="J189" s="599"/>
    </row>
    <row r="190" spans="1:10" ht="15.75" customHeight="1" x14ac:dyDescent="0.2">
      <c r="A190" s="891"/>
      <c r="B190" s="606">
        <v>53208990000000</v>
      </c>
      <c r="C190" s="607" t="s">
        <v>194</v>
      </c>
      <c r="D190" s="620">
        <v>0</v>
      </c>
      <c r="E190" s="620">
        <v>0</v>
      </c>
      <c r="F190" s="620">
        <v>0</v>
      </c>
      <c r="G190" s="611">
        <f t="shared" si="24"/>
        <v>0</v>
      </c>
      <c r="H190" s="612">
        <f t="shared" si="23"/>
        <v>0</v>
      </c>
      <c r="I190" s="599"/>
      <c r="J190" s="599"/>
    </row>
    <row r="191" spans="1:10" ht="15.75" customHeight="1" x14ac:dyDescent="0.2">
      <c r="A191" s="891"/>
      <c r="B191" s="606">
        <v>53209990000000</v>
      </c>
      <c r="C191" s="607" t="s">
        <v>192</v>
      </c>
      <c r="D191" s="620">
        <v>0</v>
      </c>
      <c r="E191" s="620">
        <v>0</v>
      </c>
      <c r="F191" s="620">
        <v>0</v>
      </c>
      <c r="G191" s="611">
        <f t="shared" si="24"/>
        <v>0</v>
      </c>
      <c r="H191" s="612">
        <f t="shared" si="23"/>
        <v>0</v>
      </c>
      <c r="I191" s="599"/>
      <c r="J191" s="599"/>
    </row>
    <row r="192" spans="1:10" ht="15.75" customHeight="1" x14ac:dyDescent="0.2">
      <c r="A192" s="891"/>
      <c r="B192" s="606">
        <v>53210020100000</v>
      </c>
      <c r="C192" s="607" t="s">
        <v>64</v>
      </c>
      <c r="D192" s="620">
        <v>0</v>
      </c>
      <c r="E192" s="620">
        <v>0</v>
      </c>
      <c r="F192" s="620">
        <v>0</v>
      </c>
      <c r="G192" s="611">
        <f t="shared" si="24"/>
        <v>0</v>
      </c>
      <c r="H192" s="612">
        <f t="shared" si="23"/>
        <v>0</v>
      </c>
      <c r="I192" s="599"/>
      <c r="J192" s="599"/>
    </row>
    <row r="193" spans="1:10" ht="15.75" customHeight="1" x14ac:dyDescent="0.2">
      <c r="A193" s="891"/>
      <c r="B193" s="600"/>
      <c r="C193" s="601" t="s">
        <v>65</v>
      </c>
      <c r="D193" s="602">
        <f>SUM(D194:D200)</f>
        <v>0</v>
      </c>
      <c r="E193" s="603"/>
      <c r="F193" s="603"/>
      <c r="G193" s="602">
        <f>SUM(G194:G200)</f>
        <v>0</v>
      </c>
      <c r="H193" s="605">
        <f>SUM(H194:H200)</f>
        <v>0</v>
      </c>
      <c r="I193" s="599"/>
      <c r="J193" s="599"/>
    </row>
    <row r="194" spans="1:10" ht="15.75" customHeight="1" x14ac:dyDescent="0.2">
      <c r="A194" s="891"/>
      <c r="B194" s="606">
        <v>53206030000000</v>
      </c>
      <c r="C194" s="607" t="s">
        <v>99</v>
      </c>
      <c r="D194" s="620">
        <v>0</v>
      </c>
      <c r="E194" s="620">
        <v>0</v>
      </c>
      <c r="F194" s="620">
        <v>0</v>
      </c>
      <c r="G194" s="611">
        <f t="shared" si="24"/>
        <v>0</v>
      </c>
      <c r="H194" s="612">
        <f t="shared" si="23"/>
        <v>0</v>
      </c>
      <c r="I194" s="599"/>
      <c r="J194" s="599"/>
    </row>
    <row r="195" spans="1:10" ht="15.75" customHeight="1" x14ac:dyDescent="0.2">
      <c r="A195" s="891"/>
      <c r="B195" s="606">
        <v>53206040000000</v>
      </c>
      <c r="C195" s="607" t="s">
        <v>100</v>
      </c>
      <c r="D195" s="620">
        <v>0</v>
      </c>
      <c r="E195" s="620">
        <v>0</v>
      </c>
      <c r="F195" s="620">
        <v>0</v>
      </c>
      <c r="G195" s="611">
        <f t="shared" si="24"/>
        <v>0</v>
      </c>
      <c r="H195" s="612">
        <f t="shared" si="23"/>
        <v>0</v>
      </c>
      <c r="I195" s="599"/>
      <c r="J195" s="599"/>
    </row>
    <row r="196" spans="1:10" ht="15.75" customHeight="1" x14ac:dyDescent="0.2">
      <c r="A196" s="891"/>
      <c r="B196" s="606">
        <v>53206060000000</v>
      </c>
      <c r="C196" s="607" t="s">
        <v>195</v>
      </c>
      <c r="D196" s="620">
        <v>0</v>
      </c>
      <c r="E196" s="620">
        <v>0</v>
      </c>
      <c r="F196" s="620">
        <v>0</v>
      </c>
      <c r="G196" s="611">
        <f t="shared" si="24"/>
        <v>0</v>
      </c>
      <c r="H196" s="612">
        <f t="shared" si="23"/>
        <v>0</v>
      </c>
      <c r="I196" s="599"/>
      <c r="J196" s="599"/>
    </row>
    <row r="197" spans="1:10" ht="15.75" customHeight="1" x14ac:dyDescent="0.2">
      <c r="A197" s="891"/>
      <c r="B197" s="606">
        <v>53206070000000</v>
      </c>
      <c r="C197" s="607" t="s">
        <v>102</v>
      </c>
      <c r="D197" s="620">
        <v>0</v>
      </c>
      <c r="E197" s="620">
        <v>0</v>
      </c>
      <c r="F197" s="620">
        <v>0</v>
      </c>
      <c r="G197" s="611">
        <f t="shared" si="24"/>
        <v>0</v>
      </c>
      <c r="H197" s="612">
        <f t="shared" si="23"/>
        <v>0</v>
      </c>
      <c r="I197" s="599"/>
      <c r="J197" s="599"/>
    </row>
    <row r="198" spans="1:10" ht="15.75" customHeight="1" x14ac:dyDescent="0.2">
      <c r="A198" s="891"/>
      <c r="B198" s="606">
        <v>53206990000000</v>
      </c>
      <c r="C198" s="607" t="s">
        <v>196</v>
      </c>
      <c r="D198" s="620">
        <v>0</v>
      </c>
      <c r="E198" s="620">
        <v>0</v>
      </c>
      <c r="F198" s="620">
        <v>0</v>
      </c>
      <c r="G198" s="611">
        <f t="shared" si="24"/>
        <v>0</v>
      </c>
      <c r="H198" s="612">
        <f t="shared" si="23"/>
        <v>0</v>
      </c>
      <c r="I198" s="599"/>
      <c r="J198" s="599"/>
    </row>
    <row r="199" spans="1:10" ht="15.75" customHeight="1" x14ac:dyDescent="0.2">
      <c r="A199" s="891"/>
      <c r="B199" s="606">
        <v>53208030000000</v>
      </c>
      <c r="C199" s="607" t="s">
        <v>104</v>
      </c>
      <c r="D199" s="620">
        <v>0</v>
      </c>
      <c r="E199" s="620">
        <v>0</v>
      </c>
      <c r="F199" s="620">
        <v>0</v>
      </c>
      <c r="G199" s="611">
        <f t="shared" si="24"/>
        <v>0</v>
      </c>
      <c r="H199" s="612">
        <f t="shared" si="23"/>
        <v>0</v>
      </c>
      <c r="I199" s="599"/>
      <c r="J199" s="599"/>
    </row>
    <row r="200" spans="1:10" ht="15.75" customHeight="1" x14ac:dyDescent="0.2">
      <c r="A200" s="891"/>
      <c r="B200" s="606">
        <v>53206990000000</v>
      </c>
      <c r="C200" s="607" t="s">
        <v>218</v>
      </c>
      <c r="D200" s="620">
        <v>0</v>
      </c>
      <c r="E200" s="620">
        <v>0</v>
      </c>
      <c r="F200" s="620">
        <v>0</v>
      </c>
      <c r="G200" s="611">
        <f t="shared" si="24"/>
        <v>0</v>
      </c>
      <c r="H200" s="612">
        <f t="shared" si="23"/>
        <v>0</v>
      </c>
      <c r="I200" s="599"/>
      <c r="J200" s="599"/>
    </row>
    <row r="201" spans="1:10" ht="15.75" customHeight="1" x14ac:dyDescent="0.2">
      <c r="A201" s="891"/>
      <c r="B201" s="600"/>
      <c r="C201" s="601" t="s">
        <v>66</v>
      </c>
      <c r="D201" s="602">
        <f>SUM(D202:D202)</f>
        <v>0</v>
      </c>
      <c r="E201" s="603"/>
      <c r="F201" s="603"/>
      <c r="G201" s="602">
        <f>SUM(G202:G202)</f>
        <v>0</v>
      </c>
      <c r="H201" s="605">
        <f>SUM(H202:H202)</f>
        <v>0</v>
      </c>
      <c r="I201" s="599"/>
      <c r="J201" s="599"/>
    </row>
    <row r="202" spans="1:10" ht="15.75" customHeight="1" x14ac:dyDescent="0.2">
      <c r="A202" s="891"/>
      <c r="B202" s="627"/>
      <c r="C202" s="628" t="s">
        <v>219</v>
      </c>
      <c r="D202" s="613">
        <v>0</v>
      </c>
      <c r="E202" s="613">
        <v>0</v>
      </c>
      <c r="F202" s="615">
        <v>0</v>
      </c>
      <c r="G202" s="611">
        <f t="shared" si="24"/>
        <v>0</v>
      </c>
      <c r="H202" s="629">
        <f t="shared" si="23"/>
        <v>0</v>
      </c>
      <c r="I202" s="630" t="s">
        <v>220</v>
      </c>
      <c r="J202" s="631">
        <f>+H200+H199+H198+H197+H196+H195+H194+H192+H191+H190+H189+H188+H187+H186+H185+H183+H180+H179+H178+H177+H176+H174+H172+H171+H165+H164+H163+H161+H160+H159+H158+H157+H156+H155+H154+H153+H152+H151</f>
        <v>0</v>
      </c>
    </row>
    <row r="203" spans="1:10" ht="15.75" customHeight="1" thickBot="1" x14ac:dyDescent="0.25">
      <c r="A203" s="892"/>
      <c r="B203" s="632"/>
      <c r="C203" s="633" t="s">
        <v>105</v>
      </c>
      <c r="D203" s="634">
        <f>SUM(D140,D167)</f>
        <v>0</v>
      </c>
      <c r="E203" s="635"/>
      <c r="F203" s="635"/>
      <c r="G203" s="634">
        <f>SUM(G140,G167)</f>
        <v>0</v>
      </c>
      <c r="H203" s="636">
        <f>SUM(H140,H167)</f>
        <v>0</v>
      </c>
      <c r="I203" s="637" t="s">
        <v>221</v>
      </c>
      <c r="J203" s="638">
        <f>+H203-J202</f>
        <v>0</v>
      </c>
    </row>
    <row r="204" spans="1:10" x14ac:dyDescent="0.2">
      <c r="B204" s="405"/>
      <c r="C204" s="406" t="s">
        <v>105</v>
      </c>
      <c r="D204" s="407">
        <f>SUM(D203+D75)</f>
        <v>32682113.594440483</v>
      </c>
      <c r="E204" s="407">
        <f>SUM(E203+E75)</f>
        <v>0</v>
      </c>
      <c r="F204" s="407">
        <f>SUM(F203+F75)</f>
        <v>0</v>
      </c>
      <c r="G204" s="407">
        <f>SUM(G203+G75)</f>
        <v>10463520</v>
      </c>
      <c r="H204" s="407">
        <f>SUM(H203+H75+H139)</f>
        <v>66596976.93327336</v>
      </c>
    </row>
    <row r="206" spans="1:10" x14ac:dyDescent="0.2">
      <c r="I206" s="416" t="s">
        <v>222</v>
      </c>
      <c r="J206" s="417">
        <f>SUM(J202+J74+J138)</f>
        <v>16475665</v>
      </c>
    </row>
    <row r="207" spans="1:10" x14ac:dyDescent="0.2">
      <c r="I207" s="418" t="s">
        <v>223</v>
      </c>
      <c r="J207" s="419">
        <f>SUM(J203+J75+J139)</f>
        <v>50121311.93327336</v>
      </c>
    </row>
  </sheetData>
  <mergeCells count="15">
    <mergeCell ref="L10:L11"/>
    <mergeCell ref="M10:M11"/>
    <mergeCell ref="N10:N11"/>
    <mergeCell ref="O10:O11"/>
    <mergeCell ref="D4:E4"/>
    <mergeCell ref="E10:G10"/>
    <mergeCell ref="D10:D11"/>
    <mergeCell ref="H10:H11"/>
    <mergeCell ref="A8:C8"/>
    <mergeCell ref="A10:A11"/>
    <mergeCell ref="C10:C11"/>
    <mergeCell ref="B10:B11"/>
    <mergeCell ref="A140:A203"/>
    <mergeCell ref="A76:A139"/>
    <mergeCell ref="A12:A75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topLeftCell="R13" zoomScale="80" zoomScaleNormal="80" workbookViewId="0">
      <selection activeCell="W18" sqref="W18"/>
    </sheetView>
  </sheetViews>
  <sheetFormatPr baseColWidth="10" defaultColWidth="11.42578125" defaultRowHeight="12.75" x14ac:dyDescent="0.2"/>
  <cols>
    <col min="1" max="1" width="11.5703125" style="28" customWidth="1"/>
    <col min="2" max="2" width="28" style="28" customWidth="1"/>
    <col min="3" max="3" width="28.7109375" style="28" customWidth="1"/>
    <col min="4" max="4" width="24.140625" style="28" customWidth="1"/>
    <col min="5" max="5" width="25.140625" style="28" customWidth="1"/>
    <col min="6" max="6" width="22.140625" style="28" customWidth="1"/>
    <col min="7" max="7" width="14.85546875" style="28" customWidth="1"/>
    <col min="8" max="8" width="15" style="28" customWidth="1"/>
    <col min="9" max="9" width="15.140625" style="28" customWidth="1"/>
    <col min="10" max="10" width="17.42578125" style="28" customWidth="1"/>
    <col min="11" max="11" width="19.140625" style="28" customWidth="1"/>
    <col min="12" max="12" width="4.85546875" style="28" customWidth="1"/>
    <col min="13" max="13" width="19.140625" style="28" customWidth="1"/>
    <col min="14" max="14" width="16.140625" style="28" customWidth="1"/>
    <col min="15" max="15" width="17.140625" style="28" customWidth="1"/>
    <col min="16" max="16" width="14.85546875" style="28" customWidth="1"/>
    <col min="17" max="17" width="17.7109375" style="28" customWidth="1"/>
    <col min="18" max="18" width="17.140625" style="28" customWidth="1"/>
    <col min="19" max="19" width="17.42578125" style="28" customWidth="1"/>
    <col min="20" max="20" width="5" style="28" customWidth="1"/>
    <col min="21" max="21" width="19.85546875" style="28" bestFit="1" customWidth="1"/>
    <col min="22" max="22" width="52.140625" style="28" bestFit="1" customWidth="1"/>
    <col min="23" max="23" width="18.28515625" style="28" customWidth="1"/>
    <col min="24" max="24" width="5.7109375" style="28" customWidth="1"/>
    <col min="25" max="25" width="11.42578125" style="28" customWidth="1"/>
    <col min="26" max="31" width="14.28515625" style="28" customWidth="1"/>
    <col min="32" max="32" width="11.28515625" style="28" customWidth="1"/>
    <col min="33" max="38" width="14.28515625" style="28" customWidth="1"/>
    <col min="39" max="39" width="11.42578125" style="28"/>
    <col min="40" max="45" width="14.28515625" style="28" customWidth="1"/>
    <col min="46" max="16384" width="11.42578125" style="28"/>
  </cols>
  <sheetData>
    <row r="1" spans="1:242" s="6" customFormat="1" x14ac:dyDescent="0.2">
      <c r="C1" s="7"/>
      <c r="D1" s="7"/>
      <c r="E1" s="41" t="s">
        <v>207</v>
      </c>
      <c r="F1" s="41"/>
      <c r="G1" s="41"/>
      <c r="H1" s="41"/>
      <c r="I1" s="41"/>
      <c r="J1" s="7"/>
      <c r="K1" s="7"/>
      <c r="L1" s="7"/>
      <c r="IG1" s="4"/>
      <c r="IH1" s="4"/>
    </row>
    <row r="2" spans="1:242" s="6" customFormat="1" x14ac:dyDescent="0.2">
      <c r="E2" s="41" t="s">
        <v>199</v>
      </c>
      <c r="F2" s="41"/>
      <c r="G2" s="41"/>
      <c r="H2" s="41"/>
      <c r="I2" s="41"/>
      <c r="IG2" s="4"/>
      <c r="IH2" s="4"/>
    </row>
    <row r="3" spans="1:242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3"/>
      <c r="D4" s="103" t="s">
        <v>0</v>
      </c>
      <c r="E4" s="169" t="str">
        <f>+'B) Reajuste Tarifas y Ocupación'!F5</f>
        <v>(DEPTO./DELEG.)</v>
      </c>
      <c r="F4" s="55"/>
      <c r="G4" s="56"/>
      <c r="H4" s="56"/>
      <c r="I4" s="56"/>
      <c r="J4" s="56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3"/>
      <c r="D5" s="104"/>
      <c r="E5" s="107"/>
      <c r="F5" s="107"/>
      <c r="G5" s="107"/>
      <c r="H5" s="107"/>
      <c r="I5" s="107"/>
      <c r="J5" s="107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3"/>
      <c r="D6" s="104"/>
      <c r="E6" s="107"/>
      <c r="F6" s="107"/>
      <c r="G6" s="107"/>
      <c r="H6" s="107"/>
      <c r="I6" s="107"/>
      <c r="J6" s="107"/>
      <c r="O6" s="3"/>
      <c r="HX6" s="4"/>
      <c r="HY6" s="4"/>
      <c r="HZ6" s="4"/>
      <c r="IA6" s="4"/>
      <c r="IB6" s="4"/>
      <c r="IC6" s="4"/>
    </row>
    <row r="7" spans="1:242" x14ac:dyDescent="0.2">
      <c r="B7" s="26"/>
      <c r="C7" s="26"/>
      <c r="D7" s="26"/>
      <c r="E7" s="26"/>
      <c r="F7" s="26"/>
      <c r="G7" s="26"/>
      <c r="H7" s="26"/>
      <c r="I7" s="26"/>
      <c r="J7" s="34"/>
      <c r="K7" s="34"/>
      <c r="L7" s="34"/>
      <c r="M7" s="34"/>
      <c r="N7" s="34"/>
      <c r="O7" s="34"/>
      <c r="P7" s="34"/>
      <c r="Q7" s="34"/>
      <c r="R7" s="34"/>
      <c r="Y7" s="196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8"/>
    </row>
    <row r="8" spans="1:242" x14ac:dyDescent="0.2">
      <c r="B8" s="26"/>
      <c r="C8" s="26"/>
      <c r="D8" s="26"/>
      <c r="E8" s="26"/>
      <c r="F8" s="26"/>
      <c r="G8" s="26"/>
      <c r="H8" s="26"/>
      <c r="I8" s="26"/>
      <c r="J8" s="34"/>
      <c r="K8" s="34"/>
      <c r="L8" s="34"/>
      <c r="M8" s="34"/>
      <c r="N8" s="34"/>
      <c r="O8" s="34"/>
      <c r="P8" s="34"/>
      <c r="Q8" s="34"/>
      <c r="R8" s="34"/>
      <c r="Y8" s="199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200"/>
    </row>
    <row r="9" spans="1:242" ht="15.75" customHeight="1" x14ac:dyDescent="0.2">
      <c r="A9" s="948" t="s">
        <v>156</v>
      </c>
      <c r="B9" s="948"/>
      <c r="C9" s="948"/>
      <c r="D9" s="948"/>
      <c r="E9" s="948"/>
      <c r="F9" s="948"/>
      <c r="G9" s="948"/>
      <c r="H9" s="948"/>
      <c r="I9" s="106"/>
      <c r="J9" s="106"/>
      <c r="K9" s="106"/>
      <c r="L9" s="106"/>
      <c r="M9" s="913" t="s">
        <v>157</v>
      </c>
      <c r="N9" s="913"/>
      <c r="O9" s="913"/>
      <c r="P9" s="913"/>
      <c r="Q9" s="913"/>
      <c r="R9" s="913"/>
      <c r="S9" s="913"/>
      <c r="U9" s="913" t="s">
        <v>158</v>
      </c>
      <c r="V9" s="913"/>
      <c r="W9" s="913"/>
      <c r="X9" s="138"/>
      <c r="Y9" s="201"/>
      <c r="Z9" s="913" t="s">
        <v>213</v>
      </c>
      <c r="AA9" s="913"/>
      <c r="AB9" s="913"/>
      <c r="AC9" s="913"/>
      <c r="AD9" s="913"/>
      <c r="AE9" s="913"/>
      <c r="AF9" s="138"/>
      <c r="AG9" s="913" t="s">
        <v>160</v>
      </c>
      <c r="AH9" s="913"/>
      <c r="AI9" s="913"/>
      <c r="AJ9" s="913"/>
      <c r="AK9" s="913"/>
      <c r="AL9" s="913"/>
      <c r="AM9" s="36"/>
      <c r="AN9" s="913" t="s">
        <v>161</v>
      </c>
      <c r="AO9" s="913"/>
      <c r="AP9" s="913"/>
      <c r="AQ9" s="913"/>
      <c r="AR9" s="913"/>
      <c r="AS9" s="913"/>
      <c r="AT9" s="200"/>
    </row>
    <row r="10" spans="1:242" ht="13.5" customHeight="1" x14ac:dyDescent="0.2">
      <c r="B10" s="23"/>
      <c r="C10" s="104"/>
      <c r="D10" s="104"/>
      <c r="E10" s="107"/>
      <c r="F10" s="107"/>
      <c r="G10" s="107"/>
      <c r="H10" s="107"/>
      <c r="I10" s="107"/>
      <c r="J10" s="107"/>
      <c r="M10" s="913"/>
      <c r="N10" s="913"/>
      <c r="O10" s="913"/>
      <c r="P10" s="913"/>
      <c r="Q10" s="913"/>
      <c r="R10" s="913"/>
      <c r="S10" s="913"/>
      <c r="U10" s="913"/>
      <c r="V10" s="913"/>
      <c r="W10" s="913"/>
      <c r="Y10" s="199"/>
      <c r="Z10" s="913"/>
      <c r="AA10" s="913"/>
      <c r="AB10" s="913"/>
      <c r="AC10" s="913"/>
      <c r="AD10" s="913"/>
      <c r="AE10" s="913"/>
      <c r="AF10" s="36"/>
      <c r="AG10" s="913"/>
      <c r="AH10" s="913"/>
      <c r="AI10" s="913"/>
      <c r="AJ10" s="913"/>
      <c r="AK10" s="913"/>
      <c r="AL10" s="913"/>
      <c r="AM10" s="36"/>
      <c r="AN10" s="913"/>
      <c r="AO10" s="913"/>
      <c r="AP10" s="913"/>
      <c r="AQ10" s="913"/>
      <c r="AR10" s="913"/>
      <c r="AS10" s="913"/>
      <c r="AT10" s="200"/>
    </row>
    <row r="11" spans="1:242" x14ac:dyDescent="0.2">
      <c r="J11" s="60" t="s">
        <v>4</v>
      </c>
      <c r="K11" s="58">
        <v>0.03</v>
      </c>
      <c r="Y11" s="199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200"/>
    </row>
    <row r="12" spans="1:242" ht="12.75" customHeight="1" thickBot="1" x14ac:dyDescent="0.25">
      <c r="K12" s="36"/>
      <c r="L12" s="36"/>
      <c r="M12" s="968"/>
      <c r="N12" s="968"/>
      <c r="O12" s="968"/>
      <c r="P12" s="968"/>
      <c r="Q12" s="968"/>
      <c r="R12" s="968"/>
      <c r="Y12" s="199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200"/>
    </row>
    <row r="13" spans="1:242" ht="21.75" customHeight="1" x14ac:dyDescent="0.2">
      <c r="A13" s="957" t="s">
        <v>117</v>
      </c>
      <c r="B13" s="958"/>
      <c r="C13" s="961" t="s">
        <v>73</v>
      </c>
      <c r="D13" s="961" t="s">
        <v>74</v>
      </c>
      <c r="E13" s="963" t="s">
        <v>3</v>
      </c>
      <c r="F13" s="963" t="s">
        <v>81</v>
      </c>
      <c r="G13" s="965" t="s">
        <v>224</v>
      </c>
      <c r="H13" s="966"/>
      <c r="I13" s="966"/>
      <c r="J13" s="967"/>
      <c r="K13" s="953" t="s">
        <v>227</v>
      </c>
      <c r="L13" s="34"/>
      <c r="M13" s="927" t="s">
        <v>69</v>
      </c>
      <c r="N13" s="955"/>
      <c r="O13" s="915" t="s">
        <v>70</v>
      </c>
      <c r="P13" s="916"/>
      <c r="Q13" s="956" t="s">
        <v>71</v>
      </c>
      <c r="R13" s="918"/>
      <c r="S13" s="911" t="s">
        <v>147</v>
      </c>
      <c r="U13" s="949" t="s">
        <v>75</v>
      </c>
      <c r="V13" s="951" t="s">
        <v>76</v>
      </c>
      <c r="W13" s="914" t="s">
        <v>244</v>
      </c>
      <c r="Y13" s="199"/>
      <c r="Z13" s="921" t="s">
        <v>69</v>
      </c>
      <c r="AA13" s="922"/>
      <c r="AB13" s="923" t="s">
        <v>70</v>
      </c>
      <c r="AC13" s="924"/>
      <c r="AD13" s="925" t="s">
        <v>71</v>
      </c>
      <c r="AE13" s="926"/>
      <c r="AF13" s="36"/>
      <c r="AG13" s="927" t="s">
        <v>69</v>
      </c>
      <c r="AH13" s="928"/>
      <c r="AI13" s="915" t="s">
        <v>70</v>
      </c>
      <c r="AJ13" s="916"/>
      <c r="AK13" s="917" t="s">
        <v>71</v>
      </c>
      <c r="AL13" s="918"/>
      <c r="AM13" s="36"/>
      <c r="AN13" s="927" t="s">
        <v>69</v>
      </c>
      <c r="AO13" s="928"/>
      <c r="AP13" s="915" t="s">
        <v>70</v>
      </c>
      <c r="AQ13" s="916"/>
      <c r="AR13" s="917" t="s">
        <v>71</v>
      </c>
      <c r="AS13" s="918"/>
      <c r="AT13" s="200"/>
    </row>
    <row r="14" spans="1:242" s="36" customFormat="1" ht="39" thickBot="1" x14ac:dyDescent="0.25">
      <c r="A14" s="959"/>
      <c r="B14" s="960"/>
      <c r="C14" s="962"/>
      <c r="D14" s="962"/>
      <c r="E14" s="964"/>
      <c r="F14" s="964"/>
      <c r="G14" s="644" t="s">
        <v>225</v>
      </c>
      <c r="H14" s="645" t="s">
        <v>115</v>
      </c>
      <c r="I14" s="644" t="s">
        <v>116</v>
      </c>
      <c r="J14" s="646" t="s">
        <v>226</v>
      </c>
      <c r="K14" s="954"/>
      <c r="L14" s="34"/>
      <c r="M14" s="180" t="s">
        <v>36</v>
      </c>
      <c r="N14" s="182" t="s">
        <v>37</v>
      </c>
      <c r="O14" s="190" t="s">
        <v>36</v>
      </c>
      <c r="P14" s="191" t="s">
        <v>37</v>
      </c>
      <c r="Q14" s="183" t="s">
        <v>36</v>
      </c>
      <c r="R14" s="181" t="s">
        <v>37</v>
      </c>
      <c r="S14" s="912"/>
      <c r="U14" s="950"/>
      <c r="V14" s="952"/>
      <c r="W14" s="914"/>
      <c r="Y14" s="199"/>
      <c r="Z14" s="180" t="s">
        <v>36</v>
      </c>
      <c r="AA14" s="182" t="s">
        <v>37</v>
      </c>
      <c r="AB14" s="190" t="s">
        <v>36</v>
      </c>
      <c r="AC14" s="191" t="s">
        <v>37</v>
      </c>
      <c r="AD14" s="183" t="s">
        <v>36</v>
      </c>
      <c r="AE14" s="181" t="s">
        <v>37</v>
      </c>
      <c r="AG14" s="202" t="s">
        <v>36</v>
      </c>
      <c r="AH14" s="203" t="s">
        <v>37</v>
      </c>
      <c r="AI14" s="204" t="s">
        <v>36</v>
      </c>
      <c r="AJ14" s="205" t="s">
        <v>37</v>
      </c>
      <c r="AK14" s="206" t="s">
        <v>36</v>
      </c>
      <c r="AL14" s="207" t="s">
        <v>37</v>
      </c>
      <c r="AN14" s="919" t="s">
        <v>148</v>
      </c>
      <c r="AO14" s="920"/>
      <c r="AP14" s="906" t="s">
        <v>148</v>
      </c>
      <c r="AQ14" s="907"/>
      <c r="AR14" s="908" t="s">
        <v>149</v>
      </c>
      <c r="AS14" s="909"/>
      <c r="AT14" s="200"/>
    </row>
    <row r="15" spans="1:242" s="36" customFormat="1" ht="12.75" customHeight="1" thickBot="1" x14ac:dyDescent="0.25">
      <c r="A15" s="935" t="s">
        <v>143</v>
      </c>
      <c r="B15" s="938" t="s">
        <v>93</v>
      </c>
      <c r="C15" s="698" t="s">
        <v>288</v>
      </c>
      <c r="D15" s="699" t="s">
        <v>291</v>
      </c>
      <c r="E15" s="703" t="s">
        <v>259</v>
      </c>
      <c r="F15" s="647" t="s">
        <v>118</v>
      </c>
      <c r="G15" s="464">
        <v>11167743.5616</v>
      </c>
      <c r="H15" s="464">
        <v>188000</v>
      </c>
      <c r="I15" s="648">
        <v>125736</v>
      </c>
      <c r="J15" s="649">
        <f>SUM(G15:I15)</f>
        <v>11481479.5616</v>
      </c>
      <c r="K15" s="650">
        <f t="shared" ref="K15:K69" si="0">+J15*(1+$K$11)</f>
        <v>11825923.948448</v>
      </c>
      <c r="L15" s="34"/>
      <c r="M15" s="151">
        <v>0.55000000000000004</v>
      </c>
      <c r="N15" s="173">
        <f t="shared" ref="N15:N61" si="1">+$K15*M15</f>
        <v>6504258.1716464004</v>
      </c>
      <c r="O15" s="151">
        <v>0.4</v>
      </c>
      <c r="P15" s="187">
        <f t="shared" ref="P15:P61" si="2">+$K15*O15</f>
        <v>4730369.5793792</v>
      </c>
      <c r="Q15" s="184">
        <v>0.05</v>
      </c>
      <c r="R15" s="173">
        <f t="shared" ref="R15:R61" si="3">+$K15*Q15</f>
        <v>591296.1974224</v>
      </c>
      <c r="S15" s="176">
        <f>+M15+O15+Q15</f>
        <v>1</v>
      </c>
      <c r="U15" s="142"/>
      <c r="V15" s="139" t="s">
        <v>11</v>
      </c>
      <c r="W15" s="145">
        <f>SUM(W16,W20)</f>
        <v>7778647</v>
      </c>
      <c r="Y15" s="199"/>
      <c r="Z15" s="192">
        <f t="shared" ref="Z15:AE15" si="4">+M62</f>
        <v>0.55586515405284631</v>
      </c>
      <c r="AA15" s="194">
        <f t="shared" si="4"/>
        <v>34744882.155127198</v>
      </c>
      <c r="AB15" s="192">
        <f t="shared" si="4"/>
        <v>0.4168090222558441</v>
      </c>
      <c r="AC15" s="195">
        <f t="shared" si="4"/>
        <v>26053045.876115996</v>
      </c>
      <c r="AD15" s="193">
        <f t="shared" si="4"/>
        <v>2.7325823691309505E-2</v>
      </c>
      <c r="AE15" s="195">
        <f t="shared" si="4"/>
        <v>1708026.6986047998</v>
      </c>
      <c r="AG15" s="214">
        <f>+Z15</f>
        <v>0.55586515405284631</v>
      </c>
      <c r="AH15" s="208">
        <f>+AG15*W80</f>
        <v>7202148.5806633485</v>
      </c>
      <c r="AI15" s="215">
        <f>+AB15</f>
        <v>0.4168090222558441</v>
      </c>
      <c r="AJ15" s="208">
        <f>+AI15*W80</f>
        <v>5400447.3677841155</v>
      </c>
      <c r="AK15" s="216">
        <f>+AD15</f>
        <v>2.7325823691309505E-2</v>
      </c>
      <c r="AL15" s="209">
        <f>+AK15*W80</f>
        <v>354051.05155253422</v>
      </c>
      <c r="AN15" s="904">
        <f>+AH15+AA15</f>
        <v>41947030.735790543</v>
      </c>
      <c r="AO15" s="905"/>
      <c r="AP15" s="904">
        <f>+AJ15+AC15+K70</f>
        <v>31453493.243900113</v>
      </c>
      <c r="AQ15" s="905"/>
      <c r="AR15" s="904">
        <f>+AL15+AE15</f>
        <v>2062077.7501573339</v>
      </c>
      <c r="AS15" s="910"/>
      <c r="AT15" s="200"/>
    </row>
    <row r="16" spans="1:242" s="36" customFormat="1" x14ac:dyDescent="0.2">
      <c r="A16" s="936"/>
      <c r="B16" s="939"/>
      <c r="C16" s="700" t="s">
        <v>289</v>
      </c>
      <c r="D16" s="701" t="s">
        <v>292</v>
      </c>
      <c r="E16" s="704" t="s">
        <v>260</v>
      </c>
      <c r="F16" s="653" t="s">
        <v>118</v>
      </c>
      <c r="G16" s="454">
        <v>21370351.401599992</v>
      </c>
      <c r="H16" s="454">
        <v>188000</v>
      </c>
      <c r="I16" s="654">
        <v>125736</v>
      </c>
      <c r="J16" s="655">
        <f t="shared" ref="J16:J69" si="5">SUM(G16:I16)</f>
        <v>21684087.401599992</v>
      </c>
      <c r="K16" s="656">
        <f t="shared" si="0"/>
        <v>22334610.023647994</v>
      </c>
      <c r="L16" s="34"/>
      <c r="M16" s="171">
        <v>0.55000000000000004</v>
      </c>
      <c r="N16" s="174">
        <f t="shared" si="1"/>
        <v>12284035.513006398</v>
      </c>
      <c r="O16" s="171">
        <v>0.4</v>
      </c>
      <c r="P16" s="172">
        <f t="shared" si="2"/>
        <v>8933844.0094591975</v>
      </c>
      <c r="Q16" s="185">
        <v>0.05</v>
      </c>
      <c r="R16" s="174">
        <f t="shared" si="3"/>
        <v>1116730.5011823997</v>
      </c>
      <c r="S16" s="177">
        <f t="shared" ref="S16:S61" si="6">+M16+O16+Q16</f>
        <v>1</v>
      </c>
      <c r="U16" s="143"/>
      <c r="V16" s="140" t="s">
        <v>12</v>
      </c>
      <c r="W16" s="146">
        <f>SUM(W17:W19)</f>
        <v>0</v>
      </c>
      <c r="Y16" s="199"/>
      <c r="AT16" s="200"/>
    </row>
    <row r="17" spans="1:46" s="36" customFormat="1" ht="12.75" customHeight="1" x14ac:dyDescent="0.2">
      <c r="A17" s="936"/>
      <c r="B17" s="939"/>
      <c r="C17" s="700" t="s">
        <v>290</v>
      </c>
      <c r="D17" s="701" t="s">
        <v>293</v>
      </c>
      <c r="E17" s="704" t="s">
        <v>261</v>
      </c>
      <c r="F17" s="653" t="s">
        <v>118</v>
      </c>
      <c r="G17" s="454">
        <v>11232400.515199998</v>
      </c>
      <c r="H17" s="454">
        <v>188000</v>
      </c>
      <c r="I17" s="654">
        <v>125736</v>
      </c>
      <c r="J17" s="655">
        <f t="shared" si="5"/>
        <v>11546136.515199998</v>
      </c>
      <c r="K17" s="656">
        <f t="shared" si="0"/>
        <v>11892520.610655999</v>
      </c>
      <c r="L17" s="34"/>
      <c r="M17" s="171">
        <v>0.65</v>
      </c>
      <c r="N17" s="174">
        <f t="shared" si="1"/>
        <v>7730138.3969263993</v>
      </c>
      <c r="O17" s="171">
        <v>0.35</v>
      </c>
      <c r="P17" s="172">
        <f t="shared" si="2"/>
        <v>4162382.2137295995</v>
      </c>
      <c r="Q17" s="185">
        <v>0</v>
      </c>
      <c r="R17" s="174">
        <f t="shared" si="3"/>
        <v>0</v>
      </c>
      <c r="S17" s="177">
        <f t="shared" si="6"/>
        <v>1</v>
      </c>
      <c r="U17" s="144">
        <v>53103050000000</v>
      </c>
      <c r="V17" s="141" t="s">
        <v>13</v>
      </c>
      <c r="W17" s="147">
        <v>0</v>
      </c>
      <c r="Y17" s="199"/>
      <c r="AT17" s="200"/>
    </row>
    <row r="18" spans="1:46" s="36" customFormat="1" ht="13.5" customHeight="1" thickBot="1" x14ac:dyDescent="0.25">
      <c r="A18" s="936"/>
      <c r="B18" s="939"/>
      <c r="C18" s="651"/>
      <c r="D18" s="457"/>
      <c r="E18" s="652"/>
      <c r="F18" s="653" t="s">
        <v>118</v>
      </c>
      <c r="G18" s="454">
        <v>0</v>
      </c>
      <c r="H18" s="454">
        <v>0</v>
      </c>
      <c r="I18" s="654">
        <v>0</v>
      </c>
      <c r="J18" s="655">
        <f t="shared" si="5"/>
        <v>0</v>
      </c>
      <c r="K18" s="656">
        <f t="shared" si="0"/>
        <v>0</v>
      </c>
      <c r="L18" s="34"/>
      <c r="M18" s="171">
        <v>0</v>
      </c>
      <c r="N18" s="174">
        <f t="shared" si="1"/>
        <v>0</v>
      </c>
      <c r="O18" s="171">
        <v>0</v>
      </c>
      <c r="P18" s="172">
        <f t="shared" si="2"/>
        <v>0</v>
      </c>
      <c r="Q18" s="185">
        <v>0</v>
      </c>
      <c r="R18" s="174">
        <f t="shared" si="3"/>
        <v>0</v>
      </c>
      <c r="S18" s="177">
        <f t="shared" si="6"/>
        <v>0</v>
      </c>
      <c r="U18" s="144">
        <v>53103060000000</v>
      </c>
      <c r="V18" s="141" t="s">
        <v>14</v>
      </c>
      <c r="W18" s="147">
        <v>0</v>
      </c>
      <c r="Y18" s="210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2"/>
    </row>
    <row r="19" spans="1:46" s="36" customFormat="1" x14ac:dyDescent="0.2">
      <c r="A19" s="936"/>
      <c r="B19" s="939"/>
      <c r="C19" s="651"/>
      <c r="D19" s="457"/>
      <c r="E19" s="652"/>
      <c r="F19" s="653" t="s">
        <v>118</v>
      </c>
      <c r="G19" s="454">
        <v>0</v>
      </c>
      <c r="H19" s="454">
        <v>0</v>
      </c>
      <c r="I19" s="654">
        <v>0</v>
      </c>
      <c r="J19" s="655">
        <f t="shared" si="5"/>
        <v>0</v>
      </c>
      <c r="K19" s="656">
        <f t="shared" si="0"/>
        <v>0</v>
      </c>
      <c r="L19" s="34"/>
      <c r="M19" s="171">
        <v>0</v>
      </c>
      <c r="N19" s="174">
        <f t="shared" si="1"/>
        <v>0</v>
      </c>
      <c r="O19" s="171">
        <v>0</v>
      </c>
      <c r="P19" s="172">
        <f t="shared" si="2"/>
        <v>0</v>
      </c>
      <c r="Q19" s="185">
        <v>0</v>
      </c>
      <c r="R19" s="174">
        <f t="shared" si="3"/>
        <v>0</v>
      </c>
      <c r="S19" s="177">
        <f t="shared" si="6"/>
        <v>0</v>
      </c>
      <c r="U19" s="144">
        <v>53103080010000</v>
      </c>
      <c r="V19" s="141" t="s">
        <v>15</v>
      </c>
      <c r="W19" s="147">
        <v>0</v>
      </c>
    </row>
    <row r="20" spans="1:46" s="36" customFormat="1" x14ac:dyDescent="0.2">
      <c r="A20" s="936"/>
      <c r="B20" s="939"/>
      <c r="C20" s="651"/>
      <c r="D20" s="457"/>
      <c r="E20" s="652"/>
      <c r="F20" s="653" t="s">
        <v>118</v>
      </c>
      <c r="G20" s="454">
        <v>0</v>
      </c>
      <c r="H20" s="454">
        <v>0</v>
      </c>
      <c r="I20" s="654">
        <v>0</v>
      </c>
      <c r="J20" s="655">
        <f t="shared" si="5"/>
        <v>0</v>
      </c>
      <c r="K20" s="656">
        <f t="shared" si="0"/>
        <v>0</v>
      </c>
      <c r="L20" s="34"/>
      <c r="M20" s="171">
        <v>0</v>
      </c>
      <c r="N20" s="174">
        <f t="shared" si="1"/>
        <v>0</v>
      </c>
      <c r="O20" s="171">
        <v>0</v>
      </c>
      <c r="P20" s="172">
        <f t="shared" si="2"/>
        <v>0</v>
      </c>
      <c r="Q20" s="185">
        <v>0</v>
      </c>
      <c r="R20" s="174">
        <f t="shared" si="3"/>
        <v>0</v>
      </c>
      <c r="S20" s="177">
        <f t="shared" si="6"/>
        <v>0</v>
      </c>
      <c r="U20" s="143"/>
      <c r="V20" s="140" t="s">
        <v>16</v>
      </c>
      <c r="W20" s="213">
        <f>SUM(W21:W39)</f>
        <v>7778647</v>
      </c>
    </row>
    <row r="21" spans="1:46" s="36" customFormat="1" x14ac:dyDescent="0.2">
      <c r="A21" s="936"/>
      <c r="B21" s="939"/>
      <c r="C21" s="651"/>
      <c r="D21" s="457"/>
      <c r="E21" s="652"/>
      <c r="F21" s="653" t="s">
        <v>118</v>
      </c>
      <c r="G21" s="454">
        <v>0</v>
      </c>
      <c r="H21" s="454">
        <v>0</v>
      </c>
      <c r="I21" s="654">
        <v>0</v>
      </c>
      <c r="J21" s="655">
        <f t="shared" si="5"/>
        <v>0</v>
      </c>
      <c r="K21" s="656">
        <f t="shared" si="0"/>
        <v>0</v>
      </c>
      <c r="L21" s="34"/>
      <c r="M21" s="171">
        <v>0</v>
      </c>
      <c r="N21" s="174">
        <f t="shared" si="1"/>
        <v>0</v>
      </c>
      <c r="O21" s="171">
        <v>0</v>
      </c>
      <c r="P21" s="172">
        <f t="shared" si="2"/>
        <v>0</v>
      </c>
      <c r="Q21" s="185">
        <v>0</v>
      </c>
      <c r="R21" s="174">
        <f t="shared" si="3"/>
        <v>0</v>
      </c>
      <c r="S21" s="177">
        <f t="shared" si="6"/>
        <v>0</v>
      </c>
      <c r="U21" s="144">
        <v>53201010100000</v>
      </c>
      <c r="V21" s="141" t="s">
        <v>17</v>
      </c>
      <c r="W21" s="567">
        <v>0</v>
      </c>
    </row>
    <row r="22" spans="1:46" s="36" customFormat="1" x14ac:dyDescent="0.2">
      <c r="A22" s="936"/>
      <c r="B22" s="939"/>
      <c r="C22" s="651"/>
      <c r="D22" s="457"/>
      <c r="E22" s="652"/>
      <c r="F22" s="653" t="s">
        <v>118</v>
      </c>
      <c r="G22" s="454">
        <v>0</v>
      </c>
      <c r="H22" s="454">
        <v>0</v>
      </c>
      <c r="I22" s="654">
        <v>0</v>
      </c>
      <c r="J22" s="655">
        <f t="shared" si="5"/>
        <v>0</v>
      </c>
      <c r="K22" s="656">
        <f t="shared" si="0"/>
        <v>0</v>
      </c>
      <c r="L22" s="34"/>
      <c r="M22" s="171">
        <v>0</v>
      </c>
      <c r="N22" s="174">
        <f t="shared" si="1"/>
        <v>0</v>
      </c>
      <c r="O22" s="171">
        <v>0</v>
      </c>
      <c r="P22" s="172">
        <f t="shared" si="2"/>
        <v>0</v>
      </c>
      <c r="Q22" s="185">
        <v>0</v>
      </c>
      <c r="R22" s="174">
        <f t="shared" si="3"/>
        <v>0</v>
      </c>
      <c r="S22" s="177">
        <f t="shared" si="6"/>
        <v>0</v>
      </c>
      <c r="U22" s="144">
        <v>53202010100000</v>
      </c>
      <c r="V22" s="141" t="s">
        <v>18</v>
      </c>
      <c r="W22" s="567">
        <v>0</v>
      </c>
    </row>
    <row r="23" spans="1:46" s="36" customFormat="1" x14ac:dyDescent="0.2">
      <c r="A23" s="936"/>
      <c r="B23" s="939"/>
      <c r="C23" s="651"/>
      <c r="D23" s="457"/>
      <c r="E23" s="652"/>
      <c r="F23" s="653" t="s">
        <v>118</v>
      </c>
      <c r="G23" s="454">
        <v>0</v>
      </c>
      <c r="H23" s="454">
        <v>0</v>
      </c>
      <c r="I23" s="654">
        <v>0</v>
      </c>
      <c r="J23" s="655">
        <f t="shared" si="5"/>
        <v>0</v>
      </c>
      <c r="K23" s="656">
        <f t="shared" si="0"/>
        <v>0</v>
      </c>
      <c r="L23" s="34"/>
      <c r="M23" s="171">
        <v>0</v>
      </c>
      <c r="N23" s="174">
        <f t="shared" si="1"/>
        <v>0</v>
      </c>
      <c r="O23" s="171">
        <v>0</v>
      </c>
      <c r="P23" s="172">
        <f t="shared" si="2"/>
        <v>0</v>
      </c>
      <c r="Q23" s="185">
        <v>0</v>
      </c>
      <c r="R23" s="174">
        <f t="shared" si="3"/>
        <v>0</v>
      </c>
      <c r="S23" s="177">
        <f t="shared" si="6"/>
        <v>0</v>
      </c>
      <c r="U23" s="144">
        <v>53203010100000</v>
      </c>
      <c r="V23" s="141" t="s">
        <v>19</v>
      </c>
      <c r="W23" s="567">
        <v>943647</v>
      </c>
    </row>
    <row r="24" spans="1:46" s="36" customFormat="1" ht="13.5" thickBot="1" x14ac:dyDescent="0.25">
      <c r="A24" s="936"/>
      <c r="B24" s="940"/>
      <c r="C24" s="657"/>
      <c r="D24" s="455"/>
      <c r="E24" s="658"/>
      <c r="F24" s="659" t="s">
        <v>118</v>
      </c>
      <c r="G24" s="456">
        <v>0</v>
      </c>
      <c r="H24" s="456">
        <v>0</v>
      </c>
      <c r="I24" s="660">
        <v>0</v>
      </c>
      <c r="J24" s="661">
        <f t="shared" si="5"/>
        <v>0</v>
      </c>
      <c r="K24" s="662">
        <f t="shared" si="0"/>
        <v>0</v>
      </c>
      <c r="L24" s="34"/>
      <c r="M24" s="178">
        <v>0</v>
      </c>
      <c r="N24" s="175">
        <f t="shared" si="1"/>
        <v>0</v>
      </c>
      <c r="O24" s="178">
        <v>0</v>
      </c>
      <c r="P24" s="188">
        <f t="shared" si="2"/>
        <v>0</v>
      </c>
      <c r="Q24" s="186">
        <v>0</v>
      </c>
      <c r="R24" s="175">
        <f t="shared" si="3"/>
        <v>0</v>
      </c>
      <c r="S24" s="179">
        <f t="shared" si="6"/>
        <v>0</v>
      </c>
      <c r="U24" s="144">
        <v>53203030000000</v>
      </c>
      <c r="V24" s="141" t="s">
        <v>20</v>
      </c>
      <c r="W24" s="567">
        <v>0</v>
      </c>
    </row>
    <row r="25" spans="1:46" s="36" customFormat="1" ht="12.75" customHeight="1" x14ac:dyDescent="0.2">
      <c r="A25" s="936"/>
      <c r="B25" s="941" t="s">
        <v>92</v>
      </c>
      <c r="C25" s="705" t="s">
        <v>286</v>
      </c>
      <c r="D25" s="706" t="s">
        <v>287</v>
      </c>
      <c r="E25" s="707" t="s">
        <v>262</v>
      </c>
      <c r="F25" s="117" t="s">
        <v>118</v>
      </c>
      <c r="G25" s="109">
        <v>12808670.827200001</v>
      </c>
      <c r="H25" s="109">
        <v>188000</v>
      </c>
      <c r="I25" s="126">
        <v>125736</v>
      </c>
      <c r="J25" s="129">
        <f t="shared" si="5"/>
        <v>13122406.827200001</v>
      </c>
      <c r="K25" s="124">
        <f t="shared" si="0"/>
        <v>13516079.032016002</v>
      </c>
      <c r="L25" s="34"/>
      <c r="M25" s="151">
        <v>0.5</v>
      </c>
      <c r="N25" s="173">
        <f t="shared" si="1"/>
        <v>6758039.5160080008</v>
      </c>
      <c r="O25" s="151">
        <v>0.5</v>
      </c>
      <c r="P25" s="187">
        <f t="shared" si="2"/>
        <v>6758039.5160080008</v>
      </c>
      <c r="Q25" s="184">
        <v>0</v>
      </c>
      <c r="R25" s="173">
        <f t="shared" si="3"/>
        <v>0</v>
      </c>
      <c r="S25" s="176">
        <f t="shared" si="6"/>
        <v>1</v>
      </c>
      <c r="U25" s="144">
        <v>53204030000000</v>
      </c>
      <c r="V25" s="141" t="s">
        <v>21</v>
      </c>
      <c r="W25" s="567">
        <v>0</v>
      </c>
      <c r="AG25" s="28"/>
    </row>
    <row r="26" spans="1:46" s="36" customFormat="1" ht="12.75" customHeight="1" x14ac:dyDescent="0.2">
      <c r="A26" s="936"/>
      <c r="B26" s="942"/>
      <c r="C26" s="68"/>
      <c r="D26" s="120"/>
      <c r="E26" s="121"/>
      <c r="F26" s="122" t="s">
        <v>118</v>
      </c>
      <c r="G26" s="110">
        <v>0</v>
      </c>
      <c r="H26" s="110">
        <v>0</v>
      </c>
      <c r="I26" s="127">
        <v>0</v>
      </c>
      <c r="J26" s="130">
        <f t="shared" si="5"/>
        <v>0</v>
      </c>
      <c r="K26" s="125">
        <f t="shared" si="0"/>
        <v>0</v>
      </c>
      <c r="L26" s="34"/>
      <c r="M26" s="171">
        <v>0</v>
      </c>
      <c r="N26" s="174">
        <f t="shared" si="1"/>
        <v>0</v>
      </c>
      <c r="O26" s="171">
        <v>0</v>
      </c>
      <c r="P26" s="172">
        <f t="shared" si="2"/>
        <v>0</v>
      </c>
      <c r="Q26" s="185">
        <v>0</v>
      </c>
      <c r="R26" s="174">
        <f t="shared" si="3"/>
        <v>0</v>
      </c>
      <c r="S26" s="177">
        <f t="shared" si="6"/>
        <v>0</v>
      </c>
      <c r="U26" s="144">
        <v>53204100100001</v>
      </c>
      <c r="V26" s="141" t="s">
        <v>22</v>
      </c>
      <c r="W26" s="567">
        <v>0</v>
      </c>
      <c r="AG26" s="28"/>
    </row>
    <row r="27" spans="1:46" s="36" customFormat="1" ht="12.75" customHeight="1" x14ac:dyDescent="0.2">
      <c r="A27" s="936"/>
      <c r="B27" s="942"/>
      <c r="C27" s="68"/>
      <c r="D27" s="120"/>
      <c r="E27" s="121"/>
      <c r="F27" s="122" t="s">
        <v>118</v>
      </c>
      <c r="G27" s="110">
        <v>0</v>
      </c>
      <c r="H27" s="110">
        <v>0</v>
      </c>
      <c r="I27" s="127">
        <v>0</v>
      </c>
      <c r="J27" s="130">
        <f t="shared" si="5"/>
        <v>0</v>
      </c>
      <c r="K27" s="125">
        <f t="shared" si="0"/>
        <v>0</v>
      </c>
      <c r="L27" s="34"/>
      <c r="M27" s="171">
        <v>0</v>
      </c>
      <c r="N27" s="174">
        <f t="shared" si="1"/>
        <v>0</v>
      </c>
      <c r="O27" s="171">
        <v>0</v>
      </c>
      <c r="P27" s="172">
        <f t="shared" si="2"/>
        <v>0</v>
      </c>
      <c r="Q27" s="185">
        <v>0</v>
      </c>
      <c r="R27" s="174">
        <f t="shared" si="3"/>
        <v>0</v>
      </c>
      <c r="S27" s="177">
        <f t="shared" si="6"/>
        <v>0</v>
      </c>
      <c r="U27" s="144">
        <v>53204130100000</v>
      </c>
      <c r="V27" s="141" t="s">
        <v>23</v>
      </c>
      <c r="W27" s="567">
        <v>0</v>
      </c>
      <c r="AG27" s="28"/>
    </row>
    <row r="28" spans="1:46" s="36" customFormat="1" ht="12.75" customHeight="1" x14ac:dyDescent="0.2">
      <c r="A28" s="936"/>
      <c r="B28" s="942"/>
      <c r="C28" s="68"/>
      <c r="D28" s="120"/>
      <c r="E28" s="121"/>
      <c r="F28" s="122" t="s">
        <v>118</v>
      </c>
      <c r="G28" s="110">
        <v>0</v>
      </c>
      <c r="H28" s="110">
        <v>0</v>
      </c>
      <c r="I28" s="127">
        <v>0</v>
      </c>
      <c r="J28" s="130">
        <f t="shared" si="5"/>
        <v>0</v>
      </c>
      <c r="K28" s="125">
        <f t="shared" si="0"/>
        <v>0</v>
      </c>
      <c r="L28" s="34"/>
      <c r="M28" s="171">
        <v>0</v>
      </c>
      <c r="N28" s="174">
        <f t="shared" si="1"/>
        <v>0</v>
      </c>
      <c r="O28" s="171">
        <v>0</v>
      </c>
      <c r="P28" s="172">
        <f t="shared" si="2"/>
        <v>0</v>
      </c>
      <c r="Q28" s="185">
        <v>0</v>
      </c>
      <c r="R28" s="174">
        <f t="shared" si="3"/>
        <v>0</v>
      </c>
      <c r="S28" s="177">
        <f t="shared" si="6"/>
        <v>0</v>
      </c>
      <c r="U28" s="144">
        <v>53205010100000</v>
      </c>
      <c r="V28" s="141" t="s">
        <v>24</v>
      </c>
      <c r="W28" s="567">
        <v>2500000</v>
      </c>
      <c r="AG28" s="28"/>
    </row>
    <row r="29" spans="1:46" s="36" customFormat="1" ht="12.75" customHeight="1" x14ac:dyDescent="0.2">
      <c r="A29" s="936"/>
      <c r="B29" s="942"/>
      <c r="C29" s="68"/>
      <c r="D29" s="120"/>
      <c r="E29" s="121"/>
      <c r="F29" s="122" t="s">
        <v>118</v>
      </c>
      <c r="G29" s="110">
        <v>0</v>
      </c>
      <c r="H29" s="110">
        <v>0</v>
      </c>
      <c r="I29" s="127">
        <v>0</v>
      </c>
      <c r="J29" s="130">
        <f t="shared" si="5"/>
        <v>0</v>
      </c>
      <c r="K29" s="125">
        <f t="shared" si="0"/>
        <v>0</v>
      </c>
      <c r="L29" s="34"/>
      <c r="M29" s="171">
        <v>0</v>
      </c>
      <c r="N29" s="174">
        <f t="shared" si="1"/>
        <v>0</v>
      </c>
      <c r="O29" s="171">
        <v>0</v>
      </c>
      <c r="P29" s="172">
        <f t="shared" si="2"/>
        <v>0</v>
      </c>
      <c r="Q29" s="185">
        <v>0</v>
      </c>
      <c r="R29" s="174">
        <f t="shared" si="3"/>
        <v>0</v>
      </c>
      <c r="S29" s="177">
        <f t="shared" si="6"/>
        <v>0</v>
      </c>
      <c r="U29" s="144">
        <v>53205020100000</v>
      </c>
      <c r="V29" s="141" t="s">
        <v>25</v>
      </c>
      <c r="W29" s="567">
        <v>0</v>
      </c>
      <c r="AG29" s="28"/>
    </row>
    <row r="30" spans="1:46" s="36" customFormat="1" ht="12.75" customHeight="1" x14ac:dyDescent="0.2">
      <c r="A30" s="936"/>
      <c r="B30" s="942"/>
      <c r="C30" s="68"/>
      <c r="D30" s="120"/>
      <c r="E30" s="121"/>
      <c r="F30" s="122" t="s">
        <v>118</v>
      </c>
      <c r="G30" s="110">
        <v>0</v>
      </c>
      <c r="H30" s="110">
        <v>0</v>
      </c>
      <c r="I30" s="127">
        <v>0</v>
      </c>
      <c r="J30" s="130">
        <f t="shared" si="5"/>
        <v>0</v>
      </c>
      <c r="K30" s="125">
        <f t="shared" si="0"/>
        <v>0</v>
      </c>
      <c r="L30" s="34"/>
      <c r="M30" s="171">
        <v>0</v>
      </c>
      <c r="N30" s="174">
        <f t="shared" si="1"/>
        <v>0</v>
      </c>
      <c r="O30" s="171">
        <v>0</v>
      </c>
      <c r="P30" s="172">
        <f t="shared" si="2"/>
        <v>0</v>
      </c>
      <c r="Q30" s="185">
        <v>0</v>
      </c>
      <c r="R30" s="174">
        <f t="shared" si="3"/>
        <v>0</v>
      </c>
      <c r="S30" s="177">
        <f t="shared" si="6"/>
        <v>0</v>
      </c>
      <c r="U30" s="144">
        <v>53205030100000</v>
      </c>
      <c r="V30" s="141" t="s">
        <v>26</v>
      </c>
      <c r="W30" s="567">
        <v>0</v>
      </c>
      <c r="AG30" s="28"/>
    </row>
    <row r="31" spans="1:46" s="36" customFormat="1" ht="12.75" customHeight="1" x14ac:dyDescent="0.2">
      <c r="A31" s="936"/>
      <c r="B31" s="942"/>
      <c r="C31" s="68"/>
      <c r="D31" s="120"/>
      <c r="E31" s="121"/>
      <c r="F31" s="122" t="s">
        <v>118</v>
      </c>
      <c r="G31" s="110">
        <v>0</v>
      </c>
      <c r="H31" s="110">
        <v>0</v>
      </c>
      <c r="I31" s="127">
        <v>0</v>
      </c>
      <c r="J31" s="130">
        <f t="shared" si="5"/>
        <v>0</v>
      </c>
      <c r="K31" s="125">
        <f t="shared" si="0"/>
        <v>0</v>
      </c>
      <c r="L31" s="34"/>
      <c r="M31" s="171">
        <v>0</v>
      </c>
      <c r="N31" s="174">
        <f t="shared" si="1"/>
        <v>0</v>
      </c>
      <c r="O31" s="171">
        <v>0</v>
      </c>
      <c r="P31" s="172">
        <f t="shared" si="2"/>
        <v>0</v>
      </c>
      <c r="Q31" s="185">
        <v>0</v>
      </c>
      <c r="R31" s="174">
        <f t="shared" si="3"/>
        <v>0</v>
      </c>
      <c r="S31" s="177">
        <f t="shared" si="6"/>
        <v>0</v>
      </c>
      <c r="U31" s="144">
        <v>53205050100000</v>
      </c>
      <c r="V31" s="141" t="s">
        <v>27</v>
      </c>
      <c r="W31" s="567">
        <v>600000</v>
      </c>
      <c r="AG31" s="28"/>
    </row>
    <row r="32" spans="1:46" s="36" customFormat="1" ht="12.75" customHeight="1" x14ac:dyDescent="0.2">
      <c r="A32" s="936"/>
      <c r="B32" s="942"/>
      <c r="C32" s="68"/>
      <c r="D32" s="120"/>
      <c r="E32" s="121"/>
      <c r="F32" s="122" t="s">
        <v>118</v>
      </c>
      <c r="G32" s="110">
        <v>0</v>
      </c>
      <c r="H32" s="110">
        <v>0</v>
      </c>
      <c r="I32" s="127">
        <v>0</v>
      </c>
      <c r="J32" s="130">
        <f t="shared" si="5"/>
        <v>0</v>
      </c>
      <c r="K32" s="125">
        <f t="shared" si="0"/>
        <v>0</v>
      </c>
      <c r="L32" s="34"/>
      <c r="M32" s="171">
        <v>0</v>
      </c>
      <c r="N32" s="174">
        <f t="shared" si="1"/>
        <v>0</v>
      </c>
      <c r="O32" s="171">
        <v>0</v>
      </c>
      <c r="P32" s="172">
        <f t="shared" si="2"/>
        <v>0</v>
      </c>
      <c r="Q32" s="185">
        <v>0</v>
      </c>
      <c r="R32" s="174">
        <f t="shared" si="3"/>
        <v>0</v>
      </c>
      <c r="S32" s="177">
        <f t="shared" si="6"/>
        <v>0</v>
      </c>
      <c r="U32" s="144">
        <v>53205060100000</v>
      </c>
      <c r="V32" s="141" t="s">
        <v>28</v>
      </c>
      <c r="W32" s="567">
        <v>0</v>
      </c>
      <c r="AG32" s="28"/>
    </row>
    <row r="33" spans="1:33" s="36" customFormat="1" ht="12.75" customHeight="1" x14ac:dyDescent="0.2">
      <c r="A33" s="936"/>
      <c r="B33" s="942"/>
      <c r="C33" s="68"/>
      <c r="D33" s="120"/>
      <c r="E33" s="121"/>
      <c r="F33" s="122" t="s">
        <v>118</v>
      </c>
      <c r="G33" s="110">
        <v>0</v>
      </c>
      <c r="H33" s="110">
        <v>0</v>
      </c>
      <c r="I33" s="127">
        <v>0</v>
      </c>
      <c r="J33" s="130">
        <f t="shared" si="5"/>
        <v>0</v>
      </c>
      <c r="K33" s="125">
        <f t="shared" si="0"/>
        <v>0</v>
      </c>
      <c r="L33" s="34"/>
      <c r="M33" s="171">
        <v>0</v>
      </c>
      <c r="N33" s="174">
        <f t="shared" si="1"/>
        <v>0</v>
      </c>
      <c r="O33" s="171">
        <v>0</v>
      </c>
      <c r="P33" s="172">
        <f t="shared" si="2"/>
        <v>0</v>
      </c>
      <c r="Q33" s="185">
        <v>0</v>
      </c>
      <c r="R33" s="174">
        <f t="shared" si="3"/>
        <v>0</v>
      </c>
      <c r="S33" s="177">
        <f t="shared" si="6"/>
        <v>0</v>
      </c>
      <c r="U33" s="144">
        <v>53205070100000</v>
      </c>
      <c r="V33" s="141" t="s">
        <v>29</v>
      </c>
      <c r="W33" s="567">
        <v>0</v>
      </c>
      <c r="AG33" s="28"/>
    </row>
    <row r="34" spans="1:33" s="36" customFormat="1" ht="12.75" customHeight="1" thickBot="1" x14ac:dyDescent="0.25">
      <c r="A34" s="936"/>
      <c r="B34" s="943"/>
      <c r="C34" s="137"/>
      <c r="D34" s="111"/>
      <c r="E34" s="112"/>
      <c r="F34" s="113" t="s">
        <v>118</v>
      </c>
      <c r="G34" s="114">
        <v>0</v>
      </c>
      <c r="H34" s="114">
        <v>0</v>
      </c>
      <c r="I34" s="128">
        <v>0</v>
      </c>
      <c r="J34" s="131">
        <f t="shared" si="5"/>
        <v>0</v>
      </c>
      <c r="K34" s="123">
        <f t="shared" si="0"/>
        <v>0</v>
      </c>
      <c r="L34" s="34"/>
      <c r="M34" s="178">
        <v>0</v>
      </c>
      <c r="N34" s="175">
        <f t="shared" si="1"/>
        <v>0</v>
      </c>
      <c r="O34" s="178">
        <v>0</v>
      </c>
      <c r="P34" s="188">
        <f t="shared" si="2"/>
        <v>0</v>
      </c>
      <c r="Q34" s="186">
        <v>0</v>
      </c>
      <c r="R34" s="175">
        <f t="shared" si="3"/>
        <v>0</v>
      </c>
      <c r="S34" s="179">
        <f t="shared" si="6"/>
        <v>0</v>
      </c>
      <c r="U34" s="144">
        <v>53208010100000</v>
      </c>
      <c r="V34" s="141" t="s">
        <v>30</v>
      </c>
      <c r="W34" s="567">
        <v>0</v>
      </c>
      <c r="AG34" s="28"/>
    </row>
    <row r="35" spans="1:33" s="36" customFormat="1" ht="12.75" customHeight="1" x14ac:dyDescent="0.2">
      <c r="A35" s="936"/>
      <c r="B35" s="941" t="s">
        <v>91</v>
      </c>
      <c r="C35" s="136"/>
      <c r="D35" s="115"/>
      <c r="E35" s="116"/>
      <c r="F35" s="117" t="s">
        <v>118</v>
      </c>
      <c r="G35" s="109">
        <v>0</v>
      </c>
      <c r="H35" s="109">
        <v>0</v>
      </c>
      <c r="I35" s="126">
        <v>0</v>
      </c>
      <c r="J35" s="129">
        <f t="shared" si="5"/>
        <v>0</v>
      </c>
      <c r="K35" s="124">
        <f t="shared" si="0"/>
        <v>0</v>
      </c>
      <c r="L35" s="34"/>
      <c r="M35" s="151">
        <v>0</v>
      </c>
      <c r="N35" s="173">
        <f t="shared" si="1"/>
        <v>0</v>
      </c>
      <c r="O35" s="151">
        <v>0</v>
      </c>
      <c r="P35" s="187">
        <f t="shared" si="2"/>
        <v>0</v>
      </c>
      <c r="Q35" s="184">
        <v>0</v>
      </c>
      <c r="R35" s="173">
        <f t="shared" si="3"/>
        <v>0</v>
      </c>
      <c r="S35" s="176">
        <f t="shared" si="6"/>
        <v>0</v>
      </c>
      <c r="U35" s="144">
        <v>53208070100001</v>
      </c>
      <c r="V35" s="141" t="s">
        <v>31</v>
      </c>
      <c r="W35" s="567">
        <v>0</v>
      </c>
      <c r="AG35" s="28"/>
    </row>
    <row r="36" spans="1:33" s="36" customFormat="1" ht="12.75" customHeight="1" x14ac:dyDescent="0.2">
      <c r="A36" s="936"/>
      <c r="B36" s="942"/>
      <c r="C36" s="68"/>
      <c r="D36" s="120"/>
      <c r="E36" s="121"/>
      <c r="F36" s="122" t="s">
        <v>118</v>
      </c>
      <c r="G36" s="110">
        <v>0</v>
      </c>
      <c r="H36" s="110">
        <v>0</v>
      </c>
      <c r="I36" s="127">
        <v>0</v>
      </c>
      <c r="J36" s="130">
        <f t="shared" si="5"/>
        <v>0</v>
      </c>
      <c r="K36" s="125">
        <f t="shared" si="0"/>
        <v>0</v>
      </c>
      <c r="L36" s="34"/>
      <c r="M36" s="171">
        <v>0</v>
      </c>
      <c r="N36" s="174">
        <f t="shared" si="1"/>
        <v>0</v>
      </c>
      <c r="O36" s="171">
        <v>0</v>
      </c>
      <c r="P36" s="172">
        <f t="shared" si="2"/>
        <v>0</v>
      </c>
      <c r="Q36" s="185">
        <v>0</v>
      </c>
      <c r="R36" s="174">
        <f t="shared" si="3"/>
        <v>0</v>
      </c>
      <c r="S36" s="177">
        <f t="shared" si="6"/>
        <v>0</v>
      </c>
      <c r="U36" s="144">
        <v>53208100100001</v>
      </c>
      <c r="V36" s="141" t="s">
        <v>133</v>
      </c>
      <c r="W36" s="567">
        <v>0</v>
      </c>
      <c r="AG36" s="28"/>
    </row>
    <row r="37" spans="1:33" s="36" customFormat="1" ht="12.75" customHeight="1" x14ac:dyDescent="0.2">
      <c r="A37" s="936"/>
      <c r="B37" s="942"/>
      <c r="C37" s="68"/>
      <c r="D37" s="120"/>
      <c r="E37" s="121"/>
      <c r="F37" s="122" t="s">
        <v>118</v>
      </c>
      <c r="G37" s="110">
        <v>0</v>
      </c>
      <c r="H37" s="110">
        <v>0</v>
      </c>
      <c r="I37" s="127">
        <v>0</v>
      </c>
      <c r="J37" s="130">
        <f t="shared" si="5"/>
        <v>0</v>
      </c>
      <c r="K37" s="125">
        <f t="shared" si="0"/>
        <v>0</v>
      </c>
      <c r="L37" s="34"/>
      <c r="M37" s="171">
        <v>0</v>
      </c>
      <c r="N37" s="174">
        <f t="shared" si="1"/>
        <v>0</v>
      </c>
      <c r="O37" s="171">
        <v>0</v>
      </c>
      <c r="P37" s="172">
        <f t="shared" si="2"/>
        <v>0</v>
      </c>
      <c r="Q37" s="185">
        <v>0</v>
      </c>
      <c r="R37" s="174">
        <f t="shared" si="3"/>
        <v>0</v>
      </c>
      <c r="S37" s="177">
        <f t="shared" si="6"/>
        <v>0</v>
      </c>
      <c r="U37" s="144">
        <v>53211030000000</v>
      </c>
      <c r="V37" s="141" t="s">
        <v>32</v>
      </c>
      <c r="W37" s="567">
        <v>0</v>
      </c>
      <c r="AG37" s="28"/>
    </row>
    <row r="38" spans="1:33" s="36" customFormat="1" ht="12.75" customHeight="1" x14ac:dyDescent="0.2">
      <c r="A38" s="936"/>
      <c r="B38" s="942"/>
      <c r="C38" s="68"/>
      <c r="D38" s="120"/>
      <c r="E38" s="121"/>
      <c r="F38" s="122" t="s">
        <v>118</v>
      </c>
      <c r="G38" s="110">
        <v>0</v>
      </c>
      <c r="H38" s="110">
        <v>0</v>
      </c>
      <c r="I38" s="127">
        <v>0</v>
      </c>
      <c r="J38" s="130">
        <f t="shared" si="5"/>
        <v>0</v>
      </c>
      <c r="K38" s="125">
        <f t="shared" si="0"/>
        <v>0</v>
      </c>
      <c r="L38" s="34"/>
      <c r="M38" s="171">
        <v>0</v>
      </c>
      <c r="N38" s="174">
        <f t="shared" si="1"/>
        <v>0</v>
      </c>
      <c r="O38" s="171">
        <v>0</v>
      </c>
      <c r="P38" s="172">
        <f t="shared" si="2"/>
        <v>0</v>
      </c>
      <c r="Q38" s="185">
        <v>0</v>
      </c>
      <c r="R38" s="174">
        <f t="shared" si="3"/>
        <v>0</v>
      </c>
      <c r="S38" s="177">
        <f t="shared" si="6"/>
        <v>0</v>
      </c>
      <c r="U38" s="144">
        <v>53212020100000</v>
      </c>
      <c r="V38" s="141" t="s">
        <v>98</v>
      </c>
      <c r="W38" s="567">
        <v>3735000</v>
      </c>
      <c r="AG38" s="28"/>
    </row>
    <row r="39" spans="1:33" s="36" customFormat="1" ht="12.75" customHeight="1" thickBot="1" x14ac:dyDescent="0.25">
      <c r="A39" s="936"/>
      <c r="B39" s="943"/>
      <c r="C39" s="137"/>
      <c r="D39" s="111"/>
      <c r="E39" s="112"/>
      <c r="F39" s="113" t="s">
        <v>118</v>
      </c>
      <c r="G39" s="114">
        <v>0</v>
      </c>
      <c r="H39" s="114">
        <v>0</v>
      </c>
      <c r="I39" s="128">
        <v>0</v>
      </c>
      <c r="J39" s="131">
        <f t="shared" si="5"/>
        <v>0</v>
      </c>
      <c r="K39" s="123">
        <f t="shared" si="0"/>
        <v>0</v>
      </c>
      <c r="L39" s="34"/>
      <c r="M39" s="178">
        <v>0</v>
      </c>
      <c r="N39" s="175">
        <f t="shared" si="1"/>
        <v>0</v>
      </c>
      <c r="O39" s="178">
        <v>0</v>
      </c>
      <c r="P39" s="188">
        <f t="shared" si="2"/>
        <v>0</v>
      </c>
      <c r="Q39" s="186">
        <v>0</v>
      </c>
      <c r="R39" s="175">
        <f t="shared" si="3"/>
        <v>0</v>
      </c>
      <c r="S39" s="179">
        <f t="shared" si="6"/>
        <v>0</v>
      </c>
      <c r="U39" s="144">
        <v>53214020000000</v>
      </c>
      <c r="V39" s="141" t="s">
        <v>33</v>
      </c>
      <c r="W39" s="567">
        <v>0</v>
      </c>
      <c r="AG39" s="28"/>
    </row>
    <row r="40" spans="1:33" s="36" customFormat="1" ht="12.75" customHeight="1" x14ac:dyDescent="0.2">
      <c r="A40" s="936"/>
      <c r="B40" s="944" t="s">
        <v>119</v>
      </c>
      <c r="C40" s="708" t="s">
        <v>282</v>
      </c>
      <c r="D40" s="709" t="s">
        <v>277</v>
      </c>
      <c r="E40" s="790" t="s">
        <v>388</v>
      </c>
      <c r="F40" s="108" t="s">
        <v>118</v>
      </c>
      <c r="G40" s="109"/>
      <c r="H40" s="110"/>
      <c r="I40" s="126"/>
      <c r="J40" s="132">
        <f>SUM(G40:I40)</f>
        <v>0</v>
      </c>
      <c r="K40" s="134">
        <f t="shared" si="0"/>
        <v>0</v>
      </c>
      <c r="L40" s="34"/>
      <c r="M40" s="151">
        <v>0.15</v>
      </c>
      <c r="N40" s="173">
        <f t="shared" si="1"/>
        <v>0</v>
      </c>
      <c r="O40" s="151">
        <v>0.1</v>
      </c>
      <c r="P40" s="187">
        <f t="shared" si="2"/>
        <v>0</v>
      </c>
      <c r="Q40" s="184">
        <v>0</v>
      </c>
      <c r="R40" s="173">
        <f t="shared" si="3"/>
        <v>0</v>
      </c>
      <c r="S40" s="176">
        <f t="shared" si="6"/>
        <v>0.25</v>
      </c>
      <c r="U40" s="142"/>
      <c r="V40" s="139" t="s">
        <v>34</v>
      </c>
      <c r="W40" s="145">
        <f>SUM(W41,W46,W49,W60,W70,W78)</f>
        <v>5178000</v>
      </c>
      <c r="AG40" s="28"/>
    </row>
    <row r="41" spans="1:33" s="36" customFormat="1" ht="12.75" customHeight="1" x14ac:dyDescent="0.2">
      <c r="A41" s="936"/>
      <c r="B41" s="945"/>
      <c r="C41" s="710" t="s">
        <v>285</v>
      </c>
      <c r="D41" s="711" t="s">
        <v>278</v>
      </c>
      <c r="E41" s="790" t="s">
        <v>389</v>
      </c>
      <c r="F41" s="86" t="s">
        <v>118</v>
      </c>
      <c r="G41" s="110"/>
      <c r="H41" s="110"/>
      <c r="I41" s="127"/>
      <c r="J41" s="133">
        <f t="shared" ref="J41:J48" si="7">SUM(G41:I41)</f>
        <v>0</v>
      </c>
      <c r="K41" s="135">
        <f t="shared" si="0"/>
        <v>0</v>
      </c>
      <c r="L41" s="34"/>
      <c r="M41" s="171">
        <v>0.2</v>
      </c>
      <c r="N41" s="174">
        <f t="shared" si="1"/>
        <v>0</v>
      </c>
      <c r="O41" s="171">
        <v>0.1</v>
      </c>
      <c r="P41" s="172">
        <f t="shared" si="2"/>
        <v>0</v>
      </c>
      <c r="Q41" s="185">
        <v>0</v>
      </c>
      <c r="R41" s="174">
        <f t="shared" si="3"/>
        <v>0</v>
      </c>
      <c r="S41" s="177">
        <f t="shared" si="6"/>
        <v>0.30000000000000004</v>
      </c>
      <c r="U41" s="143"/>
      <c r="V41" s="140" t="s">
        <v>35</v>
      </c>
      <c r="W41" s="146">
        <f>SUM(W42:W45)</f>
        <v>0</v>
      </c>
      <c r="AG41" s="28"/>
    </row>
    <row r="42" spans="1:33" s="36" customFormat="1" ht="12.75" customHeight="1" x14ac:dyDescent="0.2">
      <c r="A42" s="936"/>
      <c r="B42" s="945"/>
      <c r="C42" s="710" t="s">
        <v>283</v>
      </c>
      <c r="D42" s="711" t="s">
        <v>279</v>
      </c>
      <c r="E42" s="790" t="s">
        <v>390</v>
      </c>
      <c r="F42" s="86" t="s">
        <v>118</v>
      </c>
      <c r="G42" s="110"/>
      <c r="H42" s="110"/>
      <c r="I42" s="127"/>
      <c r="J42" s="133">
        <f t="shared" si="7"/>
        <v>0</v>
      </c>
      <c r="K42" s="135">
        <f t="shared" si="0"/>
        <v>0</v>
      </c>
      <c r="L42" s="34"/>
      <c r="M42" s="171">
        <v>0.15</v>
      </c>
      <c r="N42" s="174">
        <f t="shared" si="1"/>
        <v>0</v>
      </c>
      <c r="O42" s="171">
        <v>0.1</v>
      </c>
      <c r="P42" s="172">
        <f t="shared" si="2"/>
        <v>0</v>
      </c>
      <c r="Q42" s="185">
        <v>0</v>
      </c>
      <c r="R42" s="174">
        <f t="shared" si="3"/>
        <v>0</v>
      </c>
      <c r="S42" s="177">
        <f t="shared" si="6"/>
        <v>0.25</v>
      </c>
      <c r="U42" s="144">
        <v>53202020100000</v>
      </c>
      <c r="V42" s="141" t="s">
        <v>39</v>
      </c>
      <c r="W42" s="147">
        <v>0</v>
      </c>
      <c r="AG42" s="28"/>
    </row>
    <row r="43" spans="1:33" s="36" customFormat="1" ht="12.75" customHeight="1" x14ac:dyDescent="0.2">
      <c r="A43" s="936"/>
      <c r="B43" s="945"/>
      <c r="C43" s="710" t="s">
        <v>284</v>
      </c>
      <c r="D43" s="711" t="s">
        <v>280</v>
      </c>
      <c r="E43" s="791" t="s">
        <v>391</v>
      </c>
      <c r="F43" s="86" t="s">
        <v>118</v>
      </c>
      <c r="G43" s="110"/>
      <c r="H43" s="110"/>
      <c r="I43" s="127"/>
      <c r="J43" s="133">
        <f t="shared" si="7"/>
        <v>0</v>
      </c>
      <c r="K43" s="135">
        <f t="shared" si="0"/>
        <v>0</v>
      </c>
      <c r="L43" s="34"/>
      <c r="M43" s="171">
        <v>0.15</v>
      </c>
      <c r="N43" s="174">
        <f t="shared" si="1"/>
        <v>0</v>
      </c>
      <c r="O43" s="171">
        <v>0.1</v>
      </c>
      <c r="P43" s="172">
        <f t="shared" si="2"/>
        <v>0</v>
      </c>
      <c r="Q43" s="185">
        <v>0</v>
      </c>
      <c r="R43" s="174">
        <f t="shared" si="3"/>
        <v>0</v>
      </c>
      <c r="S43" s="177">
        <f t="shared" si="6"/>
        <v>0.25</v>
      </c>
      <c r="U43" s="144">
        <v>53202030000000</v>
      </c>
      <c r="V43" s="141" t="s">
        <v>40</v>
      </c>
      <c r="W43" s="147">
        <v>0</v>
      </c>
      <c r="AG43" s="28"/>
    </row>
    <row r="44" spans="1:33" s="36" customFormat="1" ht="12.75" customHeight="1" x14ac:dyDescent="0.2">
      <c r="A44" s="936"/>
      <c r="B44" s="945"/>
      <c r="C44" s="710" t="s">
        <v>285</v>
      </c>
      <c r="D44" s="711" t="s">
        <v>281</v>
      </c>
      <c r="E44" s="792" t="s">
        <v>392</v>
      </c>
      <c r="F44" s="86" t="s">
        <v>118</v>
      </c>
      <c r="G44" s="110">
        <v>2397546.6360000004</v>
      </c>
      <c r="H44" s="110">
        <v>328000</v>
      </c>
      <c r="I44" s="127">
        <v>125736</v>
      </c>
      <c r="J44" s="133">
        <f t="shared" si="7"/>
        <v>2851282.6360000004</v>
      </c>
      <c r="K44" s="135">
        <f t="shared" si="0"/>
        <v>2936821.1150800004</v>
      </c>
      <c r="L44" s="34"/>
      <c r="M44" s="171">
        <v>0.5</v>
      </c>
      <c r="N44" s="174">
        <f t="shared" si="1"/>
        <v>1468410.5575400002</v>
      </c>
      <c r="O44" s="171">
        <v>0.5</v>
      </c>
      <c r="P44" s="172">
        <f t="shared" si="2"/>
        <v>1468410.5575400002</v>
      </c>
      <c r="Q44" s="185">
        <v>0</v>
      </c>
      <c r="R44" s="174">
        <f t="shared" si="3"/>
        <v>0</v>
      </c>
      <c r="S44" s="177">
        <f t="shared" si="6"/>
        <v>1</v>
      </c>
      <c r="U44" s="144">
        <v>53211020000000</v>
      </c>
      <c r="V44" s="141" t="s">
        <v>41</v>
      </c>
      <c r="W44" s="147">
        <v>0</v>
      </c>
      <c r="AG44" s="28"/>
    </row>
    <row r="45" spans="1:33" s="36" customFormat="1" ht="12.75" customHeight="1" x14ac:dyDescent="0.2">
      <c r="A45" s="936"/>
      <c r="B45" s="945"/>
      <c r="C45" s="69"/>
      <c r="D45" s="71"/>
      <c r="E45" s="72"/>
      <c r="F45" s="86" t="s">
        <v>118</v>
      </c>
      <c r="G45" s="110">
        <v>0</v>
      </c>
      <c r="H45" s="110">
        <v>0</v>
      </c>
      <c r="I45" s="127">
        <v>0</v>
      </c>
      <c r="J45" s="133">
        <f t="shared" si="7"/>
        <v>0</v>
      </c>
      <c r="K45" s="135">
        <f t="shared" si="0"/>
        <v>0</v>
      </c>
      <c r="L45" s="34"/>
      <c r="M45" s="171">
        <v>0</v>
      </c>
      <c r="N45" s="174">
        <f t="shared" si="1"/>
        <v>0</v>
      </c>
      <c r="O45" s="171">
        <v>0</v>
      </c>
      <c r="P45" s="172">
        <f t="shared" si="2"/>
        <v>0</v>
      </c>
      <c r="Q45" s="185">
        <v>0</v>
      </c>
      <c r="R45" s="174">
        <f t="shared" si="3"/>
        <v>0</v>
      </c>
      <c r="S45" s="177">
        <f t="shared" si="6"/>
        <v>0</v>
      </c>
      <c r="U45" s="144">
        <v>53101004030000</v>
      </c>
      <c r="V45" s="141" t="s">
        <v>38</v>
      </c>
      <c r="W45" s="147">
        <v>0</v>
      </c>
      <c r="AG45" s="28"/>
    </row>
    <row r="46" spans="1:33" s="36" customFormat="1" ht="12.75" customHeight="1" x14ac:dyDescent="0.2">
      <c r="A46" s="936"/>
      <c r="B46" s="945"/>
      <c r="C46" s="69"/>
      <c r="D46" s="71"/>
      <c r="E46" s="72"/>
      <c r="F46" s="86" t="s">
        <v>118</v>
      </c>
      <c r="G46" s="110">
        <v>0</v>
      </c>
      <c r="H46" s="110">
        <v>0</v>
      </c>
      <c r="I46" s="127">
        <v>0</v>
      </c>
      <c r="J46" s="133">
        <f t="shared" si="7"/>
        <v>0</v>
      </c>
      <c r="K46" s="135">
        <f t="shared" si="0"/>
        <v>0</v>
      </c>
      <c r="L46" s="34"/>
      <c r="M46" s="171">
        <v>0</v>
      </c>
      <c r="N46" s="174">
        <f t="shared" si="1"/>
        <v>0</v>
      </c>
      <c r="O46" s="171">
        <v>0</v>
      </c>
      <c r="P46" s="172">
        <f t="shared" si="2"/>
        <v>0</v>
      </c>
      <c r="Q46" s="185">
        <v>0</v>
      </c>
      <c r="R46" s="174">
        <f t="shared" si="3"/>
        <v>0</v>
      </c>
      <c r="S46" s="177">
        <f t="shared" si="6"/>
        <v>0</v>
      </c>
      <c r="U46" s="143"/>
      <c r="V46" s="140" t="s">
        <v>42</v>
      </c>
      <c r="W46" s="146">
        <f>SUM(W47:W48)</f>
        <v>0</v>
      </c>
      <c r="AG46" s="28"/>
    </row>
    <row r="47" spans="1:33" s="36" customFormat="1" ht="12.75" customHeight="1" x14ac:dyDescent="0.2">
      <c r="A47" s="936"/>
      <c r="B47" s="945"/>
      <c r="C47" s="69"/>
      <c r="D47" s="71"/>
      <c r="E47" s="72"/>
      <c r="F47" s="86" t="s">
        <v>118</v>
      </c>
      <c r="G47" s="110">
        <v>0</v>
      </c>
      <c r="H47" s="110">
        <v>0</v>
      </c>
      <c r="I47" s="127">
        <v>0</v>
      </c>
      <c r="J47" s="133">
        <f t="shared" si="7"/>
        <v>0</v>
      </c>
      <c r="K47" s="135">
        <f t="shared" si="0"/>
        <v>0</v>
      </c>
      <c r="L47" s="34"/>
      <c r="M47" s="171">
        <v>0</v>
      </c>
      <c r="N47" s="174">
        <f t="shared" si="1"/>
        <v>0</v>
      </c>
      <c r="O47" s="171">
        <v>0</v>
      </c>
      <c r="P47" s="172">
        <f t="shared" si="2"/>
        <v>0</v>
      </c>
      <c r="Q47" s="185">
        <v>0</v>
      </c>
      <c r="R47" s="174">
        <f t="shared" si="3"/>
        <v>0</v>
      </c>
      <c r="S47" s="177">
        <f t="shared" si="6"/>
        <v>0</v>
      </c>
      <c r="U47" s="144">
        <v>53205080000000</v>
      </c>
      <c r="V47" s="141" t="s">
        <v>43</v>
      </c>
      <c r="W47" s="147">
        <v>0</v>
      </c>
      <c r="AG47" s="28"/>
    </row>
    <row r="48" spans="1:33" s="36" customFormat="1" ht="12.75" customHeight="1" x14ac:dyDescent="0.2">
      <c r="A48" s="936"/>
      <c r="B48" s="945"/>
      <c r="C48" s="69"/>
      <c r="D48" s="71"/>
      <c r="E48" s="72"/>
      <c r="F48" s="86" t="s">
        <v>118</v>
      </c>
      <c r="G48" s="110">
        <v>0</v>
      </c>
      <c r="H48" s="110">
        <v>0</v>
      </c>
      <c r="I48" s="127">
        <v>0</v>
      </c>
      <c r="J48" s="133">
        <f t="shared" si="7"/>
        <v>0</v>
      </c>
      <c r="K48" s="135">
        <f t="shared" si="0"/>
        <v>0</v>
      </c>
      <c r="L48" s="34"/>
      <c r="M48" s="171">
        <v>0</v>
      </c>
      <c r="N48" s="174">
        <f t="shared" si="1"/>
        <v>0</v>
      </c>
      <c r="O48" s="171">
        <v>0</v>
      </c>
      <c r="P48" s="172">
        <f t="shared" si="2"/>
        <v>0</v>
      </c>
      <c r="Q48" s="185">
        <v>0</v>
      </c>
      <c r="R48" s="174">
        <f t="shared" si="3"/>
        <v>0</v>
      </c>
      <c r="S48" s="177">
        <f t="shared" si="6"/>
        <v>0</v>
      </c>
      <c r="U48" s="144">
        <v>53205990000000</v>
      </c>
      <c r="V48" s="141" t="s">
        <v>44</v>
      </c>
      <c r="W48" s="147">
        <v>0</v>
      </c>
      <c r="AG48" s="28"/>
    </row>
    <row r="49" spans="1:33" s="36" customFormat="1" ht="12.75" customHeight="1" x14ac:dyDescent="0.2">
      <c r="A49" s="936"/>
      <c r="B49" s="946"/>
      <c r="C49" s="69"/>
      <c r="D49" s="71"/>
      <c r="E49" s="72"/>
      <c r="F49" s="86" t="s">
        <v>118</v>
      </c>
      <c r="G49" s="110">
        <v>0</v>
      </c>
      <c r="H49" s="110">
        <v>0</v>
      </c>
      <c r="I49" s="127">
        <v>0</v>
      </c>
      <c r="J49" s="133">
        <f t="shared" ref="J49:J61" si="8">SUM(G49:I49)</f>
        <v>0</v>
      </c>
      <c r="K49" s="135">
        <f t="shared" si="0"/>
        <v>0</v>
      </c>
      <c r="L49" s="34"/>
      <c r="M49" s="171">
        <v>0</v>
      </c>
      <c r="N49" s="174">
        <f t="shared" si="1"/>
        <v>0</v>
      </c>
      <c r="O49" s="171">
        <v>0</v>
      </c>
      <c r="P49" s="172">
        <f t="shared" si="2"/>
        <v>0</v>
      </c>
      <c r="Q49" s="185">
        <v>0</v>
      </c>
      <c r="R49" s="174">
        <f t="shared" si="3"/>
        <v>0</v>
      </c>
      <c r="S49" s="177">
        <f t="shared" si="6"/>
        <v>0</v>
      </c>
      <c r="U49" s="143"/>
      <c r="V49" s="140" t="s">
        <v>45</v>
      </c>
      <c r="W49" s="146">
        <f>SUM(W50:W59)</f>
        <v>4003000</v>
      </c>
      <c r="AG49" s="28"/>
    </row>
    <row r="50" spans="1:33" s="36" customFormat="1" ht="12.75" customHeight="1" x14ac:dyDescent="0.2">
      <c r="A50" s="936"/>
      <c r="B50" s="945"/>
      <c r="C50" s="69"/>
      <c r="D50" s="71"/>
      <c r="E50" s="72"/>
      <c r="F50" s="86" t="s">
        <v>118</v>
      </c>
      <c r="G50" s="110">
        <v>0</v>
      </c>
      <c r="H50" s="110">
        <v>0</v>
      </c>
      <c r="I50" s="127">
        <v>0</v>
      </c>
      <c r="J50" s="133">
        <f t="shared" si="8"/>
        <v>0</v>
      </c>
      <c r="K50" s="135">
        <f t="shared" si="0"/>
        <v>0</v>
      </c>
      <c r="L50" s="34"/>
      <c r="M50" s="171">
        <v>0</v>
      </c>
      <c r="N50" s="174">
        <f t="shared" si="1"/>
        <v>0</v>
      </c>
      <c r="O50" s="171">
        <v>0</v>
      </c>
      <c r="P50" s="172">
        <f t="shared" si="2"/>
        <v>0</v>
      </c>
      <c r="Q50" s="185">
        <v>0</v>
      </c>
      <c r="R50" s="174">
        <f t="shared" si="3"/>
        <v>0</v>
      </c>
      <c r="S50" s="177">
        <f t="shared" si="6"/>
        <v>0</v>
      </c>
      <c r="U50" s="144">
        <v>53203010200000</v>
      </c>
      <c r="V50" s="141" t="s">
        <v>46</v>
      </c>
      <c r="W50" s="567">
        <v>0</v>
      </c>
      <c r="AG50" s="28"/>
    </row>
    <row r="51" spans="1:33" s="36" customFormat="1" ht="12.75" customHeight="1" x14ac:dyDescent="0.2">
      <c r="A51" s="936"/>
      <c r="B51" s="945"/>
      <c r="C51" s="69"/>
      <c r="D51" s="71"/>
      <c r="E51" s="72"/>
      <c r="F51" s="86" t="s">
        <v>118</v>
      </c>
      <c r="G51" s="110">
        <v>0</v>
      </c>
      <c r="H51" s="110">
        <v>0</v>
      </c>
      <c r="I51" s="127">
        <v>0</v>
      </c>
      <c r="J51" s="133">
        <f t="shared" si="8"/>
        <v>0</v>
      </c>
      <c r="K51" s="135">
        <f t="shared" si="0"/>
        <v>0</v>
      </c>
      <c r="L51" s="34"/>
      <c r="M51" s="171">
        <v>0</v>
      </c>
      <c r="N51" s="174">
        <f t="shared" si="1"/>
        <v>0</v>
      </c>
      <c r="O51" s="171">
        <v>0</v>
      </c>
      <c r="P51" s="172">
        <f t="shared" si="2"/>
        <v>0</v>
      </c>
      <c r="Q51" s="185">
        <v>0</v>
      </c>
      <c r="R51" s="174">
        <f t="shared" si="3"/>
        <v>0</v>
      </c>
      <c r="S51" s="177">
        <f t="shared" si="6"/>
        <v>0</v>
      </c>
      <c r="U51" s="144">
        <v>53204010000000</v>
      </c>
      <c r="V51" s="141" t="s">
        <v>47</v>
      </c>
      <c r="W51" s="567">
        <v>2670000</v>
      </c>
      <c r="AG51" s="28"/>
    </row>
    <row r="52" spans="1:33" s="36" customFormat="1" ht="12.75" customHeight="1" x14ac:dyDescent="0.2">
      <c r="A52" s="936"/>
      <c r="B52" s="945"/>
      <c r="C52" s="69"/>
      <c r="D52" s="71"/>
      <c r="E52" s="72"/>
      <c r="F52" s="86" t="s">
        <v>118</v>
      </c>
      <c r="G52" s="110">
        <v>0</v>
      </c>
      <c r="H52" s="110">
        <v>0</v>
      </c>
      <c r="I52" s="127">
        <v>0</v>
      </c>
      <c r="J52" s="133">
        <f t="shared" si="8"/>
        <v>0</v>
      </c>
      <c r="K52" s="135">
        <f t="shared" si="0"/>
        <v>0</v>
      </c>
      <c r="L52" s="34"/>
      <c r="M52" s="171">
        <v>0</v>
      </c>
      <c r="N52" s="174">
        <f t="shared" si="1"/>
        <v>0</v>
      </c>
      <c r="O52" s="171">
        <v>0</v>
      </c>
      <c r="P52" s="172">
        <f t="shared" si="2"/>
        <v>0</v>
      </c>
      <c r="Q52" s="185">
        <v>0</v>
      </c>
      <c r="R52" s="174">
        <f t="shared" si="3"/>
        <v>0</v>
      </c>
      <c r="S52" s="177">
        <f t="shared" si="6"/>
        <v>0</v>
      </c>
      <c r="U52" s="144">
        <v>53204040200000</v>
      </c>
      <c r="V52" s="141" t="s">
        <v>48</v>
      </c>
      <c r="W52" s="567">
        <v>0</v>
      </c>
      <c r="AG52" s="28"/>
    </row>
    <row r="53" spans="1:33" s="36" customFormat="1" ht="12.75" customHeight="1" x14ac:dyDescent="0.2">
      <c r="A53" s="936"/>
      <c r="B53" s="945"/>
      <c r="C53" s="69"/>
      <c r="D53" s="71"/>
      <c r="E53" s="72"/>
      <c r="F53" s="86" t="s">
        <v>118</v>
      </c>
      <c r="G53" s="110">
        <v>0</v>
      </c>
      <c r="H53" s="110">
        <v>0</v>
      </c>
      <c r="I53" s="127">
        <v>0</v>
      </c>
      <c r="J53" s="133">
        <f t="shared" si="8"/>
        <v>0</v>
      </c>
      <c r="K53" s="135">
        <f t="shared" si="0"/>
        <v>0</v>
      </c>
      <c r="L53" s="34"/>
      <c r="M53" s="171">
        <v>0</v>
      </c>
      <c r="N53" s="174">
        <f t="shared" si="1"/>
        <v>0</v>
      </c>
      <c r="O53" s="171">
        <v>0</v>
      </c>
      <c r="P53" s="172">
        <f t="shared" si="2"/>
        <v>0</v>
      </c>
      <c r="Q53" s="185">
        <v>0</v>
      </c>
      <c r="R53" s="174">
        <f t="shared" si="3"/>
        <v>0</v>
      </c>
      <c r="S53" s="177">
        <f t="shared" si="6"/>
        <v>0</v>
      </c>
      <c r="U53" s="144">
        <v>53204060000000</v>
      </c>
      <c r="V53" s="141" t="s">
        <v>49</v>
      </c>
      <c r="W53" s="567">
        <v>0</v>
      </c>
      <c r="AG53" s="28"/>
    </row>
    <row r="54" spans="1:33" s="36" customFormat="1" ht="12.75" customHeight="1" x14ac:dyDescent="0.2">
      <c r="A54" s="936"/>
      <c r="B54" s="946"/>
      <c r="C54" s="69"/>
      <c r="D54" s="71"/>
      <c r="E54" s="72"/>
      <c r="F54" s="86" t="s">
        <v>118</v>
      </c>
      <c r="G54" s="110">
        <v>0</v>
      </c>
      <c r="H54" s="110">
        <v>0</v>
      </c>
      <c r="I54" s="127">
        <v>0</v>
      </c>
      <c r="J54" s="133">
        <f t="shared" si="8"/>
        <v>0</v>
      </c>
      <c r="K54" s="135">
        <f t="shared" si="0"/>
        <v>0</v>
      </c>
      <c r="L54" s="34"/>
      <c r="M54" s="171">
        <v>0</v>
      </c>
      <c r="N54" s="174">
        <f t="shared" si="1"/>
        <v>0</v>
      </c>
      <c r="O54" s="171">
        <v>0</v>
      </c>
      <c r="P54" s="172">
        <f t="shared" si="2"/>
        <v>0</v>
      </c>
      <c r="Q54" s="185">
        <v>0</v>
      </c>
      <c r="R54" s="174">
        <f t="shared" si="3"/>
        <v>0</v>
      </c>
      <c r="S54" s="177">
        <f t="shared" si="6"/>
        <v>0</v>
      </c>
      <c r="U54" s="144">
        <v>53204070000000</v>
      </c>
      <c r="V54" s="141" t="s">
        <v>50</v>
      </c>
      <c r="W54" s="567">
        <v>1333000</v>
      </c>
      <c r="AG54" s="28"/>
    </row>
    <row r="55" spans="1:33" s="36" customFormat="1" ht="12.75" customHeight="1" x14ac:dyDescent="0.2">
      <c r="A55" s="936"/>
      <c r="B55" s="946"/>
      <c r="C55" s="69"/>
      <c r="D55" s="71"/>
      <c r="E55" s="72"/>
      <c r="F55" s="86" t="s">
        <v>118</v>
      </c>
      <c r="G55" s="110">
        <v>0</v>
      </c>
      <c r="H55" s="110">
        <v>0</v>
      </c>
      <c r="I55" s="127">
        <v>0</v>
      </c>
      <c r="J55" s="133">
        <f t="shared" si="8"/>
        <v>0</v>
      </c>
      <c r="K55" s="135">
        <f t="shared" si="0"/>
        <v>0</v>
      </c>
      <c r="L55" s="34"/>
      <c r="M55" s="171">
        <v>0</v>
      </c>
      <c r="N55" s="174">
        <f t="shared" si="1"/>
        <v>0</v>
      </c>
      <c r="O55" s="171">
        <v>0</v>
      </c>
      <c r="P55" s="172">
        <f t="shared" si="2"/>
        <v>0</v>
      </c>
      <c r="Q55" s="185">
        <v>0</v>
      </c>
      <c r="R55" s="174">
        <f t="shared" si="3"/>
        <v>0</v>
      </c>
      <c r="S55" s="177">
        <f t="shared" si="6"/>
        <v>0</v>
      </c>
      <c r="U55" s="144">
        <v>53204080000000</v>
      </c>
      <c r="V55" s="141" t="s">
        <v>51</v>
      </c>
      <c r="W55" s="567">
        <v>0</v>
      </c>
      <c r="AG55" s="28"/>
    </row>
    <row r="56" spans="1:33" s="36" customFormat="1" ht="12.75" customHeight="1" x14ac:dyDescent="0.2">
      <c r="A56" s="936"/>
      <c r="B56" s="946"/>
      <c r="C56" s="69"/>
      <c r="D56" s="71"/>
      <c r="E56" s="72"/>
      <c r="F56" s="86" t="s">
        <v>118</v>
      </c>
      <c r="G56" s="110">
        <v>0</v>
      </c>
      <c r="H56" s="110">
        <v>0</v>
      </c>
      <c r="I56" s="127">
        <v>0</v>
      </c>
      <c r="J56" s="133">
        <f t="shared" si="8"/>
        <v>0</v>
      </c>
      <c r="K56" s="135">
        <f t="shared" si="0"/>
        <v>0</v>
      </c>
      <c r="L56" s="34"/>
      <c r="M56" s="171">
        <v>0</v>
      </c>
      <c r="N56" s="174">
        <f t="shared" si="1"/>
        <v>0</v>
      </c>
      <c r="O56" s="171">
        <v>0</v>
      </c>
      <c r="P56" s="172">
        <f t="shared" si="2"/>
        <v>0</v>
      </c>
      <c r="Q56" s="185">
        <v>0</v>
      </c>
      <c r="R56" s="174">
        <f t="shared" si="3"/>
        <v>0</v>
      </c>
      <c r="S56" s="177">
        <f t="shared" si="6"/>
        <v>0</v>
      </c>
      <c r="U56" s="144">
        <v>53214010000000</v>
      </c>
      <c r="V56" s="141" t="s">
        <v>52</v>
      </c>
      <c r="W56" s="567">
        <v>0</v>
      </c>
      <c r="AG56" s="28"/>
    </row>
    <row r="57" spans="1:33" s="36" customFormat="1" ht="12.75" customHeight="1" x14ac:dyDescent="0.2">
      <c r="A57" s="936"/>
      <c r="B57" s="946"/>
      <c r="C57" s="69"/>
      <c r="D57" s="71"/>
      <c r="E57" s="72"/>
      <c r="F57" s="86" t="s">
        <v>118</v>
      </c>
      <c r="G57" s="110">
        <v>0</v>
      </c>
      <c r="H57" s="110">
        <v>0</v>
      </c>
      <c r="I57" s="127">
        <v>0</v>
      </c>
      <c r="J57" s="133">
        <f t="shared" si="8"/>
        <v>0</v>
      </c>
      <c r="K57" s="135">
        <f t="shared" si="0"/>
        <v>0</v>
      </c>
      <c r="L57" s="34"/>
      <c r="M57" s="171">
        <v>0</v>
      </c>
      <c r="N57" s="174">
        <f t="shared" si="1"/>
        <v>0</v>
      </c>
      <c r="O57" s="171">
        <v>0</v>
      </c>
      <c r="P57" s="172">
        <f t="shared" si="2"/>
        <v>0</v>
      </c>
      <c r="Q57" s="185">
        <v>0</v>
      </c>
      <c r="R57" s="174">
        <f t="shared" si="3"/>
        <v>0</v>
      </c>
      <c r="S57" s="177">
        <f t="shared" si="6"/>
        <v>0</v>
      </c>
      <c r="U57" s="144">
        <v>53214040000000</v>
      </c>
      <c r="V57" s="141" t="s">
        <v>134</v>
      </c>
      <c r="W57" s="567">
        <v>0</v>
      </c>
      <c r="AG57" s="28"/>
    </row>
    <row r="58" spans="1:33" s="36" customFormat="1" ht="12.75" customHeight="1" x14ac:dyDescent="0.2">
      <c r="A58" s="936"/>
      <c r="B58" s="946"/>
      <c r="C58" s="69"/>
      <c r="D58" s="71"/>
      <c r="E58" s="72"/>
      <c r="F58" s="86" t="s">
        <v>118</v>
      </c>
      <c r="G58" s="110">
        <v>0</v>
      </c>
      <c r="H58" s="110">
        <v>0</v>
      </c>
      <c r="I58" s="127">
        <v>0</v>
      </c>
      <c r="J58" s="133">
        <f t="shared" si="8"/>
        <v>0</v>
      </c>
      <c r="K58" s="135">
        <f t="shared" si="0"/>
        <v>0</v>
      </c>
      <c r="L58" s="34"/>
      <c r="M58" s="171">
        <v>0</v>
      </c>
      <c r="N58" s="174">
        <f t="shared" si="1"/>
        <v>0</v>
      </c>
      <c r="O58" s="171">
        <v>0</v>
      </c>
      <c r="P58" s="172">
        <f t="shared" si="2"/>
        <v>0</v>
      </c>
      <c r="Q58" s="185">
        <v>0</v>
      </c>
      <c r="R58" s="174">
        <f t="shared" si="3"/>
        <v>0</v>
      </c>
      <c r="S58" s="177">
        <f t="shared" si="6"/>
        <v>0</v>
      </c>
      <c r="U58" s="144">
        <v>55201010100004</v>
      </c>
      <c r="V58" s="141" t="s">
        <v>53</v>
      </c>
      <c r="W58" s="567">
        <v>0</v>
      </c>
      <c r="AG58" s="28"/>
    </row>
    <row r="59" spans="1:33" s="36" customFormat="1" ht="12.75" customHeight="1" x14ac:dyDescent="0.2">
      <c r="A59" s="936"/>
      <c r="B59" s="946"/>
      <c r="C59" s="69"/>
      <c r="D59" s="71"/>
      <c r="E59" s="72"/>
      <c r="F59" s="86" t="s">
        <v>118</v>
      </c>
      <c r="G59" s="110">
        <v>0</v>
      </c>
      <c r="H59" s="110">
        <v>0</v>
      </c>
      <c r="I59" s="127">
        <v>0</v>
      </c>
      <c r="J59" s="133">
        <f t="shared" si="8"/>
        <v>0</v>
      </c>
      <c r="K59" s="135">
        <f t="shared" si="0"/>
        <v>0</v>
      </c>
      <c r="L59" s="34"/>
      <c r="M59" s="171">
        <v>0</v>
      </c>
      <c r="N59" s="174">
        <f t="shared" si="1"/>
        <v>0</v>
      </c>
      <c r="O59" s="171">
        <v>0</v>
      </c>
      <c r="P59" s="172">
        <f t="shared" si="2"/>
        <v>0</v>
      </c>
      <c r="Q59" s="185">
        <v>0</v>
      </c>
      <c r="R59" s="174">
        <f t="shared" si="3"/>
        <v>0</v>
      </c>
      <c r="S59" s="177">
        <f t="shared" si="6"/>
        <v>0</v>
      </c>
      <c r="U59" s="144">
        <v>55201010100005</v>
      </c>
      <c r="V59" s="141" t="s">
        <v>54</v>
      </c>
      <c r="W59" s="567">
        <v>0</v>
      </c>
      <c r="AG59" s="28"/>
    </row>
    <row r="60" spans="1:33" s="36" customFormat="1" ht="12.75" customHeight="1" x14ac:dyDescent="0.2">
      <c r="A60" s="936"/>
      <c r="B60" s="946"/>
      <c r="C60" s="69"/>
      <c r="D60" s="71"/>
      <c r="E60" s="72"/>
      <c r="F60" s="86" t="s">
        <v>118</v>
      </c>
      <c r="G60" s="110">
        <v>0</v>
      </c>
      <c r="H60" s="110">
        <v>0</v>
      </c>
      <c r="I60" s="127">
        <v>0</v>
      </c>
      <c r="J60" s="133">
        <f t="shared" si="8"/>
        <v>0</v>
      </c>
      <c r="K60" s="135">
        <f t="shared" si="0"/>
        <v>0</v>
      </c>
      <c r="L60" s="34"/>
      <c r="M60" s="171">
        <v>0</v>
      </c>
      <c r="N60" s="174">
        <f t="shared" si="1"/>
        <v>0</v>
      </c>
      <c r="O60" s="171">
        <v>0</v>
      </c>
      <c r="P60" s="172">
        <f t="shared" si="2"/>
        <v>0</v>
      </c>
      <c r="Q60" s="185">
        <v>0</v>
      </c>
      <c r="R60" s="174">
        <f t="shared" si="3"/>
        <v>0</v>
      </c>
      <c r="S60" s="177">
        <f t="shared" si="6"/>
        <v>0</v>
      </c>
      <c r="U60" s="143"/>
      <c r="V60" s="140" t="s">
        <v>55</v>
      </c>
      <c r="W60" s="146">
        <f>SUM(W61:W69)</f>
        <v>1175000</v>
      </c>
      <c r="AG60" s="28"/>
    </row>
    <row r="61" spans="1:33" s="36" customFormat="1" ht="12.75" customHeight="1" thickBot="1" x14ac:dyDescent="0.25">
      <c r="A61" s="937"/>
      <c r="B61" s="947"/>
      <c r="C61" s="137"/>
      <c r="D61" s="111"/>
      <c r="E61" s="112"/>
      <c r="F61" s="113" t="s">
        <v>118</v>
      </c>
      <c r="G61" s="114">
        <v>0</v>
      </c>
      <c r="H61" s="114">
        <v>0</v>
      </c>
      <c r="I61" s="128">
        <v>0</v>
      </c>
      <c r="J61" s="131">
        <f t="shared" si="8"/>
        <v>0</v>
      </c>
      <c r="K61" s="123">
        <f t="shared" si="0"/>
        <v>0</v>
      </c>
      <c r="L61" s="34"/>
      <c r="M61" s="399">
        <v>0</v>
      </c>
      <c r="N61" s="400">
        <f t="shared" si="1"/>
        <v>0</v>
      </c>
      <c r="O61" s="399">
        <v>0</v>
      </c>
      <c r="P61" s="401">
        <f t="shared" si="2"/>
        <v>0</v>
      </c>
      <c r="Q61" s="402">
        <v>0</v>
      </c>
      <c r="R61" s="400">
        <f t="shared" si="3"/>
        <v>0</v>
      </c>
      <c r="S61" s="179">
        <f t="shared" si="6"/>
        <v>0</v>
      </c>
      <c r="U61" s="144">
        <v>53207010000000</v>
      </c>
      <c r="V61" s="141" t="s">
        <v>56</v>
      </c>
      <c r="W61" s="567">
        <v>0</v>
      </c>
      <c r="AG61" s="28"/>
    </row>
    <row r="62" spans="1:33" s="36" customFormat="1" ht="12.75" customHeight="1" thickBo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398">
        <f>SUM(K15:K61)</f>
        <v>62505954.729847997</v>
      </c>
      <c r="L62" s="28"/>
      <c r="M62" s="403">
        <f>+N62/$K$62</f>
        <v>0.55586515405284631</v>
      </c>
      <c r="N62" s="404">
        <f>SUM(N15:N61)</f>
        <v>34744882.155127198</v>
      </c>
      <c r="O62" s="403">
        <f>+P62/$K$62</f>
        <v>0.4168090222558441</v>
      </c>
      <c r="P62" s="404">
        <f>SUM(P15:P61)</f>
        <v>26053045.876115996</v>
      </c>
      <c r="Q62" s="403">
        <f>+R62/$K$62</f>
        <v>2.7325823691309505E-2</v>
      </c>
      <c r="R62" s="404">
        <f>SUM(R15:R61)</f>
        <v>1708026.6986047998</v>
      </c>
      <c r="S62" s="28"/>
      <c r="U62" s="144">
        <v>53207020000000</v>
      </c>
      <c r="V62" s="141" t="s">
        <v>57</v>
      </c>
      <c r="W62" s="567">
        <v>0</v>
      </c>
      <c r="AG62" s="28"/>
    </row>
    <row r="63" spans="1:33" s="36" customFormat="1" ht="12.7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63">
        <v>1</v>
      </c>
      <c r="L63" s="28"/>
      <c r="M63" s="28"/>
      <c r="O63" s="28"/>
      <c r="P63" s="28"/>
      <c r="Q63" s="28"/>
      <c r="R63" s="28"/>
      <c r="S63" s="28"/>
      <c r="U63" s="144">
        <v>53208020000000</v>
      </c>
      <c r="V63" s="141" t="s">
        <v>58</v>
      </c>
      <c r="W63" s="567">
        <v>0</v>
      </c>
      <c r="AG63" s="28"/>
    </row>
    <row r="64" spans="1:33" s="36" customFormat="1" ht="12.75" customHeight="1" thickBo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U64" s="144">
        <v>53208990000000</v>
      </c>
      <c r="V64" s="141" t="s">
        <v>59</v>
      </c>
      <c r="W64" s="567">
        <v>0</v>
      </c>
      <c r="AG64" s="28"/>
    </row>
    <row r="65" spans="1:33" s="36" customFormat="1" ht="12.75" customHeight="1" x14ac:dyDescent="0.2">
      <c r="A65" s="929" t="s">
        <v>142</v>
      </c>
      <c r="B65" s="932" t="s">
        <v>121</v>
      </c>
      <c r="C65" s="136"/>
      <c r="D65" s="115"/>
      <c r="E65" s="116"/>
      <c r="F65" s="117" t="s">
        <v>120</v>
      </c>
      <c r="G65" s="109">
        <v>0</v>
      </c>
      <c r="H65" s="109">
        <v>0</v>
      </c>
      <c r="I65" s="126">
        <v>0</v>
      </c>
      <c r="J65" s="129">
        <f t="shared" si="5"/>
        <v>0</v>
      </c>
      <c r="K65" s="124">
        <f t="shared" si="0"/>
        <v>0</v>
      </c>
      <c r="L65" s="34"/>
      <c r="M65" s="28"/>
      <c r="N65" s="28"/>
      <c r="O65" s="28"/>
      <c r="P65" s="28"/>
      <c r="Q65" s="28"/>
      <c r="R65" s="28"/>
      <c r="S65" s="28"/>
      <c r="U65" s="144">
        <v>53209010000000</v>
      </c>
      <c r="V65" s="141" t="s">
        <v>60</v>
      </c>
      <c r="W65" s="567">
        <v>0</v>
      </c>
      <c r="AG65" s="28"/>
    </row>
    <row r="66" spans="1:33" s="36" customFormat="1" ht="12.75" customHeight="1" x14ac:dyDescent="0.2">
      <c r="A66" s="930"/>
      <c r="B66" s="933"/>
      <c r="C66" s="70"/>
      <c r="D66" s="118"/>
      <c r="E66" s="119"/>
      <c r="F66" s="73" t="s">
        <v>120</v>
      </c>
      <c r="G66" s="110">
        <v>0</v>
      </c>
      <c r="H66" s="110">
        <v>0</v>
      </c>
      <c r="I66" s="127">
        <v>0</v>
      </c>
      <c r="J66" s="130">
        <f t="shared" si="5"/>
        <v>0</v>
      </c>
      <c r="K66" s="125">
        <f t="shared" si="0"/>
        <v>0</v>
      </c>
      <c r="L66" s="34"/>
      <c r="M66" s="28"/>
      <c r="N66" s="28"/>
      <c r="O66" s="28"/>
      <c r="P66" s="28"/>
      <c r="Q66" s="28"/>
      <c r="R66" s="28"/>
      <c r="S66" s="28"/>
      <c r="U66" s="144">
        <v>53209040000000</v>
      </c>
      <c r="V66" s="141" t="s">
        <v>61</v>
      </c>
      <c r="W66" s="567">
        <v>0</v>
      </c>
      <c r="AG66" s="28"/>
    </row>
    <row r="67" spans="1:33" s="36" customFormat="1" ht="12.75" customHeight="1" x14ac:dyDescent="0.2">
      <c r="A67" s="930"/>
      <c r="B67" s="933"/>
      <c r="C67" s="70"/>
      <c r="D67" s="118"/>
      <c r="E67" s="119"/>
      <c r="F67" s="73" t="s">
        <v>120</v>
      </c>
      <c r="G67" s="110">
        <v>0</v>
      </c>
      <c r="H67" s="110">
        <v>0</v>
      </c>
      <c r="I67" s="127">
        <v>0</v>
      </c>
      <c r="J67" s="130">
        <f t="shared" si="5"/>
        <v>0</v>
      </c>
      <c r="K67" s="125">
        <f t="shared" si="0"/>
        <v>0</v>
      </c>
      <c r="L67" s="34"/>
      <c r="M67" s="28"/>
      <c r="N67" s="28"/>
      <c r="O67" s="28"/>
      <c r="P67" s="28"/>
      <c r="Q67" s="28"/>
      <c r="R67" s="28"/>
      <c r="S67" s="28"/>
      <c r="U67" s="144">
        <v>53209050000000</v>
      </c>
      <c r="V67" s="141" t="s">
        <v>62</v>
      </c>
      <c r="W67" s="567">
        <v>1175000</v>
      </c>
      <c r="AG67" s="28"/>
    </row>
    <row r="68" spans="1:33" s="36" customFormat="1" ht="12.75" customHeight="1" x14ac:dyDescent="0.2">
      <c r="A68" s="930"/>
      <c r="B68" s="933"/>
      <c r="C68" s="68"/>
      <c r="D68" s="120"/>
      <c r="E68" s="121"/>
      <c r="F68" s="122" t="s">
        <v>120</v>
      </c>
      <c r="G68" s="110">
        <v>0</v>
      </c>
      <c r="H68" s="110">
        <v>0</v>
      </c>
      <c r="I68" s="127">
        <v>0</v>
      </c>
      <c r="J68" s="130">
        <f t="shared" si="5"/>
        <v>0</v>
      </c>
      <c r="K68" s="125">
        <f t="shared" si="0"/>
        <v>0</v>
      </c>
      <c r="L68" s="34"/>
      <c r="M68" s="28"/>
      <c r="N68" s="28"/>
      <c r="O68" s="28"/>
      <c r="P68" s="28"/>
      <c r="Q68" s="28"/>
      <c r="R68" s="28"/>
      <c r="S68" s="28"/>
      <c r="U68" s="144">
        <v>53209990000000</v>
      </c>
      <c r="V68" s="141" t="s">
        <v>63</v>
      </c>
      <c r="W68" s="567">
        <v>0</v>
      </c>
      <c r="AG68" s="28"/>
    </row>
    <row r="69" spans="1:33" s="36" customFormat="1" ht="12.75" customHeight="1" thickBot="1" x14ac:dyDescent="0.25">
      <c r="A69" s="931"/>
      <c r="B69" s="934"/>
      <c r="C69" s="137"/>
      <c r="D69" s="111"/>
      <c r="E69" s="112"/>
      <c r="F69" s="113" t="s">
        <v>120</v>
      </c>
      <c r="G69" s="114">
        <v>0</v>
      </c>
      <c r="H69" s="114">
        <v>0</v>
      </c>
      <c r="I69" s="128">
        <v>0</v>
      </c>
      <c r="J69" s="131">
        <f t="shared" si="5"/>
        <v>0</v>
      </c>
      <c r="K69" s="123">
        <f t="shared" si="0"/>
        <v>0</v>
      </c>
      <c r="L69" s="34"/>
      <c r="M69" s="28"/>
      <c r="N69" s="28"/>
      <c r="O69" s="28"/>
      <c r="P69" s="28"/>
      <c r="Q69" s="28"/>
      <c r="R69" s="28"/>
      <c r="S69" s="28"/>
      <c r="U69" s="144">
        <v>53210020100000</v>
      </c>
      <c r="V69" s="141" t="s">
        <v>64</v>
      </c>
      <c r="W69" s="567">
        <v>0</v>
      </c>
      <c r="AG69" s="28"/>
    </row>
    <row r="70" spans="1:33" ht="15.75" x14ac:dyDescent="0.2">
      <c r="C70" s="26"/>
      <c r="D70" s="26"/>
      <c r="E70" s="38"/>
      <c r="F70" s="38"/>
      <c r="G70" s="38"/>
      <c r="H70" s="38"/>
      <c r="I70" s="38"/>
      <c r="K70" s="62">
        <f>SUM(K65:K69)</f>
        <v>0</v>
      </c>
      <c r="L70" s="34"/>
      <c r="U70" s="143"/>
      <c r="V70" s="140" t="s">
        <v>65</v>
      </c>
      <c r="W70" s="146">
        <f>SUM(W71:W77)</f>
        <v>0</v>
      </c>
    </row>
    <row r="71" spans="1:33" x14ac:dyDescent="0.2">
      <c r="K71" s="63">
        <v>1</v>
      </c>
      <c r="L71" s="34"/>
      <c r="M71" s="39"/>
      <c r="O71" s="39"/>
      <c r="Q71" s="39"/>
      <c r="U71" s="144">
        <v>53206030000000</v>
      </c>
      <c r="V71" s="141" t="s">
        <v>99</v>
      </c>
      <c r="W71" s="147">
        <v>0</v>
      </c>
    </row>
    <row r="72" spans="1:33" x14ac:dyDescent="0.2">
      <c r="L72" s="34"/>
      <c r="U72" s="144">
        <v>53206040000000</v>
      </c>
      <c r="V72" s="141" t="s">
        <v>100</v>
      </c>
      <c r="W72" s="147">
        <v>0</v>
      </c>
    </row>
    <row r="73" spans="1:33" x14ac:dyDescent="0.2">
      <c r="U73" s="144">
        <v>53206060000000</v>
      </c>
      <c r="V73" s="141" t="s">
        <v>101</v>
      </c>
      <c r="W73" s="147">
        <v>0</v>
      </c>
    </row>
    <row r="74" spans="1:33" x14ac:dyDescent="0.2">
      <c r="U74" s="144">
        <v>53206070000000</v>
      </c>
      <c r="V74" s="141" t="s">
        <v>102</v>
      </c>
      <c r="W74" s="147">
        <v>0</v>
      </c>
    </row>
    <row r="75" spans="1:33" ht="15.75" customHeight="1" x14ac:dyDescent="0.2">
      <c r="H75" s="138"/>
      <c r="U75" s="144">
        <v>53206990000000</v>
      </c>
      <c r="V75" s="141" t="s">
        <v>103</v>
      </c>
      <c r="W75" s="147">
        <v>0</v>
      </c>
    </row>
    <row r="76" spans="1:33" x14ac:dyDescent="0.2">
      <c r="U76" s="144">
        <v>53208030000000</v>
      </c>
      <c r="V76" s="141" t="s">
        <v>104</v>
      </c>
      <c r="W76" s="147">
        <v>0</v>
      </c>
    </row>
    <row r="77" spans="1:33" x14ac:dyDescent="0.2">
      <c r="U77" s="144">
        <v>53212060000000</v>
      </c>
      <c r="V77" s="141" t="s">
        <v>97</v>
      </c>
      <c r="W77" s="147">
        <v>0</v>
      </c>
    </row>
    <row r="78" spans="1:33" x14ac:dyDescent="0.2">
      <c r="U78" s="143"/>
      <c r="V78" s="140" t="s">
        <v>66</v>
      </c>
      <c r="W78" s="146">
        <f>SUM(W79:W79)</f>
        <v>0</v>
      </c>
    </row>
    <row r="79" spans="1:33" x14ac:dyDescent="0.2">
      <c r="U79" s="144">
        <v>53204999000000</v>
      </c>
      <c r="V79" s="141" t="s">
        <v>96</v>
      </c>
      <c r="W79" s="147">
        <v>0</v>
      </c>
    </row>
    <row r="80" spans="1:33" x14ac:dyDescent="0.2">
      <c r="U80" s="148"/>
      <c r="V80" s="149" t="s">
        <v>144</v>
      </c>
      <c r="W80" s="150">
        <f>+W40+W15</f>
        <v>12956647</v>
      </c>
    </row>
    <row r="83" ht="15.75" customHeight="1" x14ac:dyDescent="0.2"/>
    <row r="97" spans="11:12" x14ac:dyDescent="0.2">
      <c r="L97" s="152"/>
    </row>
    <row r="99" spans="11:12" x14ac:dyDescent="0.2">
      <c r="K99" s="168"/>
    </row>
    <row r="101" spans="11:12" x14ac:dyDescent="0.2">
      <c r="K101" s="153"/>
    </row>
  </sheetData>
  <sheetProtection sheet="1" objects="1" scenarios="1"/>
  <mergeCells count="43"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  <mergeCell ref="A65:A69"/>
    <mergeCell ref="B65:B69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N15:AO15"/>
    <mergeCell ref="AP14:AQ14"/>
    <mergeCell ref="AP15:AQ15"/>
    <mergeCell ref="AR14:AS14"/>
    <mergeCell ref="AR15:AS15"/>
  </mergeCells>
  <conditionalFormatting sqref="S15:S61">
    <cfRule type="cellIs" dxfId="1" priority="1" operator="less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5"/>
  <sheetViews>
    <sheetView showGridLines="0" zoomScale="90" zoomScaleNormal="90" workbookViewId="0">
      <selection activeCell="E13" sqref="E13:G13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2" customWidth="1"/>
    <col min="4" max="4" width="14.140625" style="22" bestFit="1" customWidth="1"/>
    <col min="5" max="17" width="14.140625" style="22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1" t="s">
        <v>208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1" t="s">
        <v>200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2"/>
      <c r="C4" s="104"/>
      <c r="F4" s="104" t="s">
        <v>0</v>
      </c>
      <c r="G4" s="977" t="str">
        <f>+'B) Reajuste Tarifas y Ocupación'!F5</f>
        <v>(DEPTO./DELEG.)</v>
      </c>
      <c r="H4" s="978"/>
      <c r="I4" s="104"/>
      <c r="J4" s="104"/>
      <c r="K4" s="104"/>
      <c r="L4" s="104"/>
      <c r="M4" s="104"/>
      <c r="N4" s="104"/>
      <c r="O4" s="104"/>
      <c r="P4" s="104"/>
      <c r="Q4" s="104"/>
      <c r="IA4" s="4"/>
      <c r="IB4" s="4"/>
      <c r="IC4" s="4"/>
      <c r="ID4" s="4"/>
      <c r="IE4" s="4"/>
      <c r="IF4" s="4"/>
    </row>
    <row r="5" spans="1:245" s="6" customFormat="1" x14ac:dyDescent="0.2">
      <c r="B5" s="22"/>
      <c r="C5" s="104"/>
      <c r="F5" s="104"/>
      <c r="G5" s="107"/>
      <c r="H5" s="107"/>
      <c r="I5" s="104"/>
      <c r="J5" s="104"/>
      <c r="K5" s="104"/>
      <c r="L5" s="104"/>
      <c r="M5" s="104"/>
      <c r="N5" s="104"/>
      <c r="O5" s="104"/>
      <c r="P5" s="104"/>
      <c r="Q5" s="104"/>
      <c r="IA5" s="4"/>
      <c r="IB5" s="4"/>
      <c r="IC5" s="4"/>
      <c r="ID5" s="4"/>
      <c r="IE5" s="4"/>
      <c r="IF5" s="4"/>
    </row>
    <row r="6" spans="1:245" s="6" customFormat="1" ht="15.75" x14ac:dyDescent="0.2">
      <c r="A6" s="984" t="s">
        <v>162</v>
      </c>
      <c r="B6" s="984"/>
      <c r="C6" s="984"/>
      <c r="D6" s="984"/>
      <c r="E6" s="106"/>
      <c r="F6" s="104"/>
      <c r="G6" s="107"/>
      <c r="H6" s="107"/>
      <c r="I6" s="104"/>
      <c r="J6" s="104"/>
      <c r="K6" s="104"/>
      <c r="L6" s="104"/>
      <c r="M6" s="104"/>
      <c r="N6" s="104"/>
      <c r="O6" s="104"/>
      <c r="P6" s="104"/>
      <c r="Q6" s="104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985" t="s">
        <v>113</v>
      </c>
      <c r="B8" s="987" t="s">
        <v>5</v>
      </c>
      <c r="C8" s="982" t="s">
        <v>235</v>
      </c>
      <c r="D8" s="865"/>
      <c r="E8" s="865"/>
      <c r="F8" s="865"/>
      <c r="G8" s="983"/>
      <c r="H8" s="979" t="s">
        <v>141</v>
      </c>
      <c r="I8" s="980"/>
      <c r="J8" s="980"/>
      <c r="K8" s="980"/>
      <c r="L8" s="981"/>
      <c r="M8" s="975" t="s">
        <v>124</v>
      </c>
      <c r="N8" s="975"/>
      <c r="O8" s="975"/>
      <c r="P8" s="975"/>
      <c r="Q8" s="976"/>
      <c r="R8" s="975" t="s">
        <v>125</v>
      </c>
      <c r="S8" s="975"/>
      <c r="T8" s="975"/>
      <c r="U8" s="975"/>
      <c r="V8" s="976"/>
    </row>
    <row r="9" spans="1:245" ht="64.5" thickBot="1" x14ac:dyDescent="0.25">
      <c r="A9" s="986" t="e">
        <f>NA()</f>
        <v>#N/A</v>
      </c>
      <c r="B9" s="988" t="e">
        <f>NA()</f>
        <v>#N/A</v>
      </c>
      <c r="C9" s="81" t="s">
        <v>86</v>
      </c>
      <c r="D9" s="80" t="s">
        <v>139</v>
      </c>
      <c r="E9" s="80" t="s">
        <v>140</v>
      </c>
      <c r="F9" s="80" t="s">
        <v>87</v>
      </c>
      <c r="G9" s="51" t="s">
        <v>88</v>
      </c>
      <c r="H9" s="82" t="s">
        <v>86</v>
      </c>
      <c r="I9" s="79" t="s">
        <v>139</v>
      </c>
      <c r="J9" s="79" t="s">
        <v>140</v>
      </c>
      <c r="K9" s="79" t="s">
        <v>87</v>
      </c>
      <c r="L9" s="52" t="s">
        <v>88</v>
      </c>
      <c r="M9" s="78" t="s">
        <v>86</v>
      </c>
      <c r="N9" s="79" t="s">
        <v>139</v>
      </c>
      <c r="O9" s="79" t="s">
        <v>140</v>
      </c>
      <c r="P9" s="79" t="s">
        <v>87</v>
      </c>
      <c r="Q9" s="61" t="s">
        <v>88</v>
      </c>
      <c r="R9" s="83" t="s">
        <v>86</v>
      </c>
      <c r="S9" s="79" t="s">
        <v>139</v>
      </c>
      <c r="T9" s="79" t="s">
        <v>140</v>
      </c>
      <c r="U9" s="79" t="s">
        <v>87</v>
      </c>
      <c r="V9" s="61" t="s">
        <v>88</v>
      </c>
    </row>
    <row r="10" spans="1:245" s="10" customFormat="1" x14ac:dyDescent="0.2">
      <c r="A10" s="972" t="str">
        <f>+'B) Reajuste Tarifas y Ocupación'!A12</f>
        <v>Jardín Infantil Olitas de Mar</v>
      </c>
      <c r="B10" s="326" t="str">
        <f>+'B) Reajuste Tarifas y Ocupación'!B12</f>
        <v>Media jornada</v>
      </c>
      <c r="C10" s="330">
        <f>+'B) Reajuste Tarifas y Ocupación'!M12</f>
        <v>49400</v>
      </c>
      <c r="D10" s="331">
        <f>+'B) Reajuste Tarifas y Ocupación'!N12</f>
        <v>59300</v>
      </c>
      <c r="E10" s="331">
        <f>+'B) Reajuste Tarifas y Ocupación'!O12</f>
        <v>59300</v>
      </c>
      <c r="F10" s="331">
        <f>+'B) Reajuste Tarifas y Ocupación'!P12</f>
        <v>74800</v>
      </c>
      <c r="G10" s="338">
        <f>+'B) Reajuste Tarifas y Ocupación'!Q12</f>
        <v>120100</v>
      </c>
      <c r="H10" s="341">
        <f>+'B) Reajuste Tarifas y Ocupación'!C12</f>
        <v>49400</v>
      </c>
      <c r="I10" s="342">
        <f>+'B) Reajuste Tarifas y Ocupación'!D12</f>
        <v>59200</v>
      </c>
      <c r="J10" s="342">
        <f>+'B) Reajuste Tarifas y Ocupación'!E12</f>
        <v>59200</v>
      </c>
      <c r="K10" s="342">
        <f>+'B) Reajuste Tarifas y Ocupación'!F12</f>
        <v>74800</v>
      </c>
      <c r="L10" s="346">
        <f>+'B) Reajuste Tarifas y Ocupación'!G12</f>
        <v>120100</v>
      </c>
      <c r="M10" s="284">
        <f t="shared" ref="M10:Q11" si="0">C10-H10</f>
        <v>0</v>
      </c>
      <c r="N10" s="274">
        <f t="shared" si="0"/>
        <v>100</v>
      </c>
      <c r="O10" s="274">
        <f t="shared" si="0"/>
        <v>100</v>
      </c>
      <c r="P10" s="274">
        <f t="shared" si="0"/>
        <v>0</v>
      </c>
      <c r="Q10" s="353">
        <f t="shared" si="0"/>
        <v>0</v>
      </c>
      <c r="R10" s="357">
        <f>+'B) Reajuste Tarifas y Ocupación'!H12</f>
        <v>0</v>
      </c>
      <c r="S10" s="358">
        <f>+'B) Reajuste Tarifas y Ocupación'!I12</f>
        <v>0</v>
      </c>
      <c r="T10" s="358">
        <f>+'B) Reajuste Tarifas y Ocupación'!J12</f>
        <v>0</v>
      </c>
      <c r="U10" s="358">
        <f>+'B) Reajuste Tarifas y Ocupación'!K12</f>
        <v>0</v>
      </c>
      <c r="V10" s="359">
        <f>+'B) Reajuste Tarifas y Ocupación'!L12</f>
        <v>0</v>
      </c>
    </row>
    <row r="11" spans="1:245" s="10" customFormat="1" x14ac:dyDescent="0.2">
      <c r="A11" s="973"/>
      <c r="B11" s="327" t="str">
        <f>+'B) Reajuste Tarifas y Ocupación'!B13</f>
        <v>Media jornada Extendida</v>
      </c>
      <c r="C11" s="333">
        <f>+'B) Reajuste Tarifas y Ocupación'!M13</f>
        <v>56400</v>
      </c>
      <c r="D11" s="329">
        <f>+'B) Reajuste Tarifas y Ocupación'!N13</f>
        <v>67700</v>
      </c>
      <c r="E11" s="329">
        <f>+'B) Reajuste Tarifas y Ocupación'!O13</f>
        <v>67700</v>
      </c>
      <c r="F11" s="329">
        <f>+'B) Reajuste Tarifas y Ocupación'!P13</f>
        <v>107000</v>
      </c>
      <c r="G11" s="339">
        <f>+'B) Reajuste Tarifas y Ocupación'!Q13</f>
        <v>159400</v>
      </c>
      <c r="H11" s="343">
        <f>+'B) Reajuste Tarifas y Ocupación'!C13</f>
        <v>56400</v>
      </c>
      <c r="I11" s="340">
        <f>+'B) Reajuste Tarifas y Ocupación'!D13</f>
        <v>67700</v>
      </c>
      <c r="J11" s="340">
        <f>+'B) Reajuste Tarifas y Ocupación'!E13</f>
        <v>67700</v>
      </c>
      <c r="K11" s="340">
        <f>+'B) Reajuste Tarifas y Ocupación'!F13</f>
        <v>107000</v>
      </c>
      <c r="L11" s="347">
        <f>+'B) Reajuste Tarifas y Ocupación'!G13</f>
        <v>159400</v>
      </c>
      <c r="M11" s="350">
        <f t="shared" si="0"/>
        <v>0</v>
      </c>
      <c r="N11" s="349">
        <f t="shared" si="0"/>
        <v>0</v>
      </c>
      <c r="O11" s="349">
        <f t="shared" si="0"/>
        <v>0</v>
      </c>
      <c r="P11" s="349">
        <f t="shared" si="0"/>
        <v>0</v>
      </c>
      <c r="Q11" s="354">
        <f t="shared" si="0"/>
        <v>0</v>
      </c>
      <c r="R11" s="360">
        <f>+'B) Reajuste Tarifas y Ocupación'!H13</f>
        <v>0</v>
      </c>
      <c r="S11" s="356">
        <f>+'B) Reajuste Tarifas y Ocupación'!I13</f>
        <v>0</v>
      </c>
      <c r="T11" s="356">
        <f>+'B) Reajuste Tarifas y Ocupación'!J13</f>
        <v>0</v>
      </c>
      <c r="U11" s="356">
        <f>+'B) Reajuste Tarifas y Ocupación'!K13</f>
        <v>0</v>
      </c>
      <c r="V11" s="361">
        <f>+'B) Reajuste Tarifas y Ocupación'!L13</f>
        <v>0</v>
      </c>
    </row>
    <row r="12" spans="1:245" s="10" customFormat="1" ht="13.5" thickBot="1" x14ac:dyDescent="0.25">
      <c r="A12" s="974"/>
      <c r="B12" s="328" t="str">
        <f>+'B) Reajuste Tarifas y Ocupación'!B14</f>
        <v>Jornada Completa</v>
      </c>
      <c r="C12" s="335">
        <f>+'B) Reajuste Tarifas y Ocupación'!M14</f>
        <v>88500</v>
      </c>
      <c r="D12" s="336">
        <f>+'B) Reajuste Tarifas y Ocupación'!N14</f>
        <v>106200</v>
      </c>
      <c r="E12" s="336">
        <f>+'B) Reajuste Tarifas y Ocupación'!O14</f>
        <v>106200</v>
      </c>
      <c r="F12" s="336">
        <f>+'B) Reajuste Tarifas y Ocupación'!P14</f>
        <v>137000</v>
      </c>
      <c r="G12" s="154">
        <f>+'B) Reajuste Tarifas y Ocupación'!Q14</f>
        <v>220300</v>
      </c>
      <c r="H12" s="344">
        <f>+'B) Reajuste Tarifas y Ocupación'!C14</f>
        <v>88500</v>
      </c>
      <c r="I12" s="345">
        <f>+'B) Reajuste Tarifas y Ocupación'!D14</f>
        <v>106200</v>
      </c>
      <c r="J12" s="345">
        <f>+'B) Reajuste Tarifas y Ocupación'!E14</f>
        <v>106200</v>
      </c>
      <c r="K12" s="345">
        <f>+'B) Reajuste Tarifas y Ocupación'!F14</f>
        <v>137000</v>
      </c>
      <c r="L12" s="348">
        <f>+'B) Reajuste Tarifas y Ocupación'!G14</f>
        <v>220300</v>
      </c>
      <c r="M12" s="351">
        <f>C12-H12</f>
        <v>0</v>
      </c>
      <c r="N12" s="352">
        <f>D12-I12</f>
        <v>0</v>
      </c>
      <c r="O12" s="352">
        <f>E12-J12</f>
        <v>0</v>
      </c>
      <c r="P12" s="352">
        <f>F12-K12</f>
        <v>0</v>
      </c>
      <c r="Q12" s="355">
        <f>G12-L12</f>
        <v>0</v>
      </c>
      <c r="R12" s="362">
        <f>+'B) Reajuste Tarifas y Ocupación'!H14</f>
        <v>0</v>
      </c>
      <c r="S12" s="363">
        <f>+'B) Reajuste Tarifas y Ocupación'!I14</f>
        <v>0</v>
      </c>
      <c r="T12" s="363">
        <f>+'B) Reajuste Tarifas y Ocupación'!J14</f>
        <v>0</v>
      </c>
      <c r="U12" s="363">
        <f>+'B) Reajuste Tarifas y Ocupación'!K14</f>
        <v>0</v>
      </c>
      <c r="V12" s="364">
        <f>+'B) Reajuste Tarifas y Ocupación'!L14</f>
        <v>0</v>
      </c>
    </row>
    <row r="13" spans="1:245" x14ac:dyDescent="0.2">
      <c r="A13" s="969" t="str">
        <f>+'B) Reajuste Tarifas y Ocupación'!A15</f>
        <v>Sala Cuna Olitas de Mar</v>
      </c>
      <c r="B13" s="326" t="str">
        <f>+'B) Reajuste Tarifas y Ocupación'!B15</f>
        <v>Diurna</v>
      </c>
      <c r="C13" s="330">
        <f>+'B) Reajuste Tarifas y Ocupación'!M15</f>
        <v>310000</v>
      </c>
      <c r="D13" s="331">
        <f>+'B) Reajuste Tarifas y Ocupación'!N15</f>
        <v>372000</v>
      </c>
      <c r="E13" s="331">
        <f>+'B) Reajuste Tarifas y Ocupación'!O15</f>
        <v>372000</v>
      </c>
      <c r="F13" s="331">
        <f>+'B) Reajuste Tarifas y Ocupación'!P15</f>
        <v>387500</v>
      </c>
      <c r="G13" s="338">
        <f>+'B) Reajuste Tarifas y Ocupación'!Q15</f>
        <v>465000</v>
      </c>
      <c r="H13" s="471"/>
      <c r="I13" s="472"/>
      <c r="J13" s="472"/>
      <c r="K13" s="472"/>
      <c r="L13" s="473"/>
      <c r="M13" s="474"/>
      <c r="N13" s="475"/>
      <c r="O13" s="475"/>
      <c r="P13" s="475"/>
      <c r="Q13" s="476"/>
      <c r="R13" s="477"/>
      <c r="S13" s="478"/>
      <c r="T13" s="478"/>
      <c r="U13" s="478"/>
      <c r="V13" s="479"/>
    </row>
    <row r="14" spans="1:245" x14ac:dyDescent="0.2">
      <c r="A14" s="970"/>
      <c r="B14" s="327" t="str">
        <f>+'B) Reajuste Tarifas y Ocupación'!B16</f>
        <v>Nocturna</v>
      </c>
      <c r="C14" s="663"/>
      <c r="D14" s="664"/>
      <c r="E14" s="664"/>
      <c r="F14" s="664"/>
      <c r="G14" s="665"/>
      <c r="H14" s="480"/>
      <c r="I14" s="481"/>
      <c r="J14" s="481"/>
      <c r="K14" s="481"/>
      <c r="L14" s="482"/>
      <c r="M14" s="483"/>
      <c r="N14" s="484"/>
      <c r="O14" s="484"/>
      <c r="P14" s="484"/>
      <c r="Q14" s="485"/>
      <c r="R14" s="486"/>
      <c r="S14" s="487"/>
      <c r="T14" s="487"/>
      <c r="U14" s="487"/>
      <c r="V14" s="488"/>
    </row>
    <row r="15" spans="1:245" ht="13.5" thickBot="1" x14ac:dyDescent="0.25">
      <c r="A15" s="971"/>
      <c r="B15" s="328" t="str">
        <f>+'B) Reajuste Tarifas y Ocupación'!B17</f>
        <v>Media Jornada</v>
      </c>
      <c r="C15" s="458">
        <f>+'B) Reajuste Tarifas y Ocupación'!M17</f>
        <v>0</v>
      </c>
      <c r="D15" s="459">
        <f>+'B) Reajuste Tarifas y Ocupación'!N17</f>
        <v>0</v>
      </c>
      <c r="E15" s="459">
        <f>+'B) Reajuste Tarifas y Ocupación'!O17</f>
        <v>0</v>
      </c>
      <c r="F15" s="459">
        <f>+'B) Reajuste Tarifas y Ocupación'!P17</f>
        <v>0</v>
      </c>
      <c r="G15" s="461">
        <f>+'B) Reajuste Tarifas y Ocupación'!Q17</f>
        <v>0</v>
      </c>
      <c r="H15" s="489"/>
      <c r="I15" s="490"/>
      <c r="J15" s="490"/>
      <c r="K15" s="490"/>
      <c r="L15" s="491"/>
      <c r="M15" s="492"/>
      <c r="N15" s="493"/>
      <c r="O15" s="493"/>
      <c r="P15" s="493"/>
      <c r="Q15" s="494"/>
      <c r="R15" s="495"/>
      <c r="S15" s="496"/>
      <c r="T15" s="496"/>
      <c r="U15" s="496"/>
      <c r="V15" s="497"/>
    </row>
  </sheetData>
  <mergeCells count="10">
    <mergeCell ref="A13:A15"/>
    <mergeCell ref="A10:A12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5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44"/>
  <sheetViews>
    <sheetView showGridLines="0" topLeftCell="B8" zoomScale="80" zoomScaleNormal="80" workbookViewId="0">
      <selection activeCell="H29" sqref="H29"/>
    </sheetView>
  </sheetViews>
  <sheetFormatPr baseColWidth="10" defaultColWidth="11.42578125" defaultRowHeight="12.75" x14ac:dyDescent="0.2"/>
  <cols>
    <col min="1" max="1" width="7.140625" style="28" customWidth="1"/>
    <col min="2" max="2" width="37.28515625" style="28" customWidth="1"/>
    <col min="3" max="3" width="28" style="28" customWidth="1"/>
    <col min="4" max="4" width="24.140625" style="28" customWidth="1"/>
    <col min="5" max="5" width="25.140625" style="28" customWidth="1"/>
    <col min="6" max="6" width="22.140625" style="28" customWidth="1"/>
    <col min="7" max="7" width="14.85546875" style="28" customWidth="1"/>
    <col min="8" max="8" width="15" style="28" customWidth="1"/>
    <col min="9" max="9" width="15.140625" style="28" customWidth="1"/>
    <col min="10" max="10" width="17.42578125" style="28" customWidth="1"/>
    <col min="11" max="12" width="19.140625" style="28" customWidth="1"/>
    <col min="13" max="13" width="16.140625" style="28" customWidth="1"/>
    <col min="14" max="14" width="17.140625" style="28" customWidth="1"/>
    <col min="15" max="15" width="14.85546875" style="28" customWidth="1"/>
    <col min="16" max="16" width="17.7109375" style="28" customWidth="1"/>
    <col min="17" max="17" width="17.140625" style="28" customWidth="1"/>
    <col min="18" max="18" width="18.140625" style="40" customWidth="1"/>
    <col min="19" max="19" width="16.28515625" style="28" customWidth="1"/>
    <col min="20" max="20" width="15.85546875" style="28" customWidth="1"/>
    <col min="21" max="21" width="14.85546875" style="28" customWidth="1"/>
    <col min="22" max="22" width="15.85546875" style="28" customWidth="1"/>
    <col min="23" max="23" width="14.28515625" style="28" customWidth="1"/>
    <col min="24" max="24" width="14.85546875" style="28" customWidth="1"/>
    <col min="25" max="25" width="14.140625" style="28" customWidth="1"/>
    <col min="26" max="26" width="16.85546875" style="28" customWidth="1"/>
    <col min="27" max="27" width="17.5703125" style="28" customWidth="1"/>
    <col min="28" max="28" width="15.28515625" style="28" customWidth="1"/>
    <col min="29" max="29" width="19.7109375" style="28" customWidth="1"/>
    <col min="30" max="30" width="17.42578125" style="28" customWidth="1"/>
    <col min="31" max="31" width="12" style="28" customWidth="1"/>
    <col min="32" max="16384" width="11.42578125" style="28"/>
  </cols>
  <sheetData>
    <row r="1" spans="2:259" s="6" customFormat="1" x14ac:dyDescent="0.2">
      <c r="C1" s="7"/>
      <c r="D1" s="7"/>
      <c r="E1" s="41" t="s">
        <v>209</v>
      </c>
      <c r="F1" s="41"/>
      <c r="G1" s="41"/>
      <c r="H1" s="41"/>
      <c r="I1" s="41"/>
      <c r="J1" s="7"/>
      <c r="K1" s="7"/>
      <c r="IM1" s="4"/>
      <c r="IN1" s="4"/>
    </row>
    <row r="2" spans="2:259" s="6" customFormat="1" x14ac:dyDescent="0.2">
      <c r="E2" s="41" t="s">
        <v>201</v>
      </c>
      <c r="F2" s="41"/>
      <c r="G2" s="41"/>
      <c r="H2" s="41"/>
      <c r="I2" s="41"/>
      <c r="IM2" s="4"/>
      <c r="IN2" s="4"/>
    </row>
    <row r="3" spans="2:259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3"/>
      <c r="D4" s="103" t="s">
        <v>0</v>
      </c>
      <c r="E4" s="169" t="str">
        <f>+'B) Reajuste Tarifas y Ocupación'!F5</f>
        <v>(DEPTO./DELEG.)</v>
      </c>
      <c r="F4" s="55"/>
      <c r="G4" s="56"/>
      <c r="H4" s="56"/>
      <c r="I4" s="56"/>
      <c r="J4" s="56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3"/>
      <c r="D5" s="104"/>
      <c r="E5" s="107"/>
      <c r="F5" s="107"/>
      <c r="G5" s="107"/>
      <c r="H5" s="107"/>
      <c r="I5" s="107"/>
      <c r="J5" s="107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3"/>
      <c r="D6" s="104"/>
      <c r="E6" s="107"/>
      <c r="F6" s="107"/>
      <c r="G6" s="107"/>
      <c r="H6" s="107"/>
      <c r="I6" s="107"/>
      <c r="J6" s="107"/>
      <c r="N6" s="3"/>
      <c r="ID6" s="4"/>
      <c r="IE6" s="4"/>
      <c r="IF6" s="4"/>
      <c r="IG6" s="4"/>
      <c r="IH6" s="4"/>
      <c r="II6" s="4"/>
    </row>
    <row r="7" spans="2:259" s="14" customFormat="1" ht="15.75" x14ac:dyDescent="0.2">
      <c r="B7" s="867" t="s">
        <v>163</v>
      </c>
      <c r="C7" s="867"/>
      <c r="D7" s="867"/>
      <c r="E7" s="867"/>
      <c r="F7" s="105"/>
      <c r="G7" s="105"/>
      <c r="H7" s="105"/>
      <c r="I7" s="105"/>
      <c r="J7" s="107"/>
      <c r="K7" s="57" t="s">
        <v>4</v>
      </c>
      <c r="L7" s="58">
        <v>0.03</v>
      </c>
      <c r="N7" s="25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5" x14ac:dyDescent="0.2">
      <c r="B9" s="1013" t="s">
        <v>113</v>
      </c>
      <c r="C9" s="1015" t="s">
        <v>73</v>
      </c>
      <c r="D9" s="1015" t="s">
        <v>74</v>
      </c>
      <c r="E9" s="1016" t="s">
        <v>3</v>
      </c>
      <c r="F9" s="1011" t="s">
        <v>81</v>
      </c>
      <c r="G9" s="999" t="s">
        <v>224</v>
      </c>
      <c r="H9" s="1000"/>
      <c r="I9" s="1000"/>
      <c r="J9" s="1001"/>
      <c r="K9" s="1002" t="s">
        <v>227</v>
      </c>
      <c r="L9" s="1004" t="s">
        <v>114</v>
      </c>
      <c r="O9" s="27"/>
      <c r="P9" s="27"/>
      <c r="Q9" s="27"/>
      <c r="R9" s="27"/>
      <c r="S9" s="27"/>
      <c r="T9" s="27"/>
    </row>
    <row r="10" spans="2:259" ht="39" thickBot="1" x14ac:dyDescent="0.25">
      <c r="B10" s="1014"/>
      <c r="C10" s="962"/>
      <c r="D10" s="962"/>
      <c r="E10" s="964"/>
      <c r="F10" s="1012"/>
      <c r="G10" s="427" t="s">
        <v>225</v>
      </c>
      <c r="H10" s="59" t="s">
        <v>115</v>
      </c>
      <c r="I10" s="59" t="s">
        <v>116</v>
      </c>
      <c r="J10" s="217" t="s">
        <v>226</v>
      </c>
      <c r="K10" s="1003"/>
      <c r="L10" s="1005"/>
      <c r="M10" s="29"/>
      <c r="N10" s="49"/>
      <c r="O10" s="49"/>
      <c r="P10" s="20"/>
      <c r="Q10" s="20"/>
      <c r="R10" s="20"/>
      <c r="S10" s="29"/>
      <c r="T10" s="1006"/>
      <c r="U10" s="1006"/>
      <c r="V10" s="1006"/>
      <c r="W10" s="1006"/>
      <c r="X10" s="29"/>
    </row>
    <row r="11" spans="2:259" s="2" customFormat="1" x14ac:dyDescent="0.2">
      <c r="B11" s="1007" t="str">
        <f>+'B) Reajuste Tarifas y Ocupación'!A12</f>
        <v>Jardín Infantil Olitas de Mar</v>
      </c>
      <c r="C11" s="698" t="s">
        <v>246</v>
      </c>
      <c r="D11" s="699" t="s">
        <v>252</v>
      </c>
      <c r="E11" s="699" t="s">
        <v>256</v>
      </c>
      <c r="F11" s="642" t="s">
        <v>214</v>
      </c>
      <c r="G11" s="639">
        <v>5226093.9216</v>
      </c>
      <c r="H11" s="218">
        <v>312502</v>
      </c>
      <c r="I11" s="218">
        <v>123822</v>
      </c>
      <c r="J11" s="219">
        <f>SUM(G11:I11)</f>
        <v>5662417.9216</v>
      </c>
      <c r="K11" s="221">
        <f>+J11*(1+$L$7)</f>
        <v>5832290.4592479998</v>
      </c>
      <c r="L11" s="1009">
        <f>SUM(K11:K22)</f>
        <v>10912767.519248001</v>
      </c>
      <c r="M11" s="29"/>
      <c r="N11" s="33"/>
      <c r="O11" s="33"/>
      <c r="P11" s="50"/>
      <c r="Q11" s="50"/>
      <c r="R11" s="50"/>
      <c r="S11" s="31"/>
      <c r="T11" s="30"/>
      <c r="U11" s="30"/>
      <c r="V11" s="30"/>
      <c r="W11" s="30"/>
      <c r="X11" s="32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1008"/>
      <c r="C12" s="700" t="s">
        <v>248</v>
      </c>
      <c r="D12" s="701" t="s">
        <v>249</v>
      </c>
      <c r="E12" s="701" t="s">
        <v>256</v>
      </c>
      <c r="F12" s="425" t="s">
        <v>214</v>
      </c>
      <c r="G12" s="640"/>
      <c r="H12" s="170"/>
      <c r="I12" s="170"/>
      <c r="J12" s="220">
        <f t="shared" ref="J12:J17" si="0">SUM(G12:I12)</f>
        <v>0</v>
      </c>
      <c r="K12" s="222">
        <f t="shared" ref="K12:K17" si="1">+J12*(1+$L$7)</f>
        <v>0</v>
      </c>
      <c r="L12" s="1010"/>
      <c r="M12" s="29"/>
      <c r="N12" s="33"/>
      <c r="O12" s="33"/>
      <c r="P12" s="20"/>
      <c r="Q12" s="20"/>
      <c r="R12" s="20"/>
      <c r="S12" s="31"/>
      <c r="T12" s="30"/>
      <c r="U12" s="30"/>
      <c r="V12" s="30"/>
      <c r="W12" s="30"/>
      <c r="X12" s="32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1008"/>
      <c r="C13" s="700"/>
      <c r="D13" s="701"/>
      <c r="E13" s="701"/>
      <c r="F13" s="425"/>
      <c r="G13" s="640"/>
      <c r="H13" s="170"/>
      <c r="I13" s="170"/>
      <c r="J13" s="220">
        <f>SUM(G13:I13)</f>
        <v>0</v>
      </c>
      <c r="K13" s="222">
        <f t="shared" si="1"/>
        <v>0</v>
      </c>
      <c r="L13" s="1010"/>
      <c r="M13" s="29"/>
      <c r="N13" s="33"/>
      <c r="O13" s="33"/>
      <c r="P13" s="20"/>
      <c r="Q13" s="20"/>
      <c r="R13" s="20"/>
      <c r="S13" s="31"/>
      <c r="T13" s="30"/>
      <c r="U13" s="30"/>
      <c r="V13" s="30"/>
      <c r="W13" s="30"/>
      <c r="X13" s="32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1008"/>
      <c r="C14" s="700"/>
      <c r="D14" s="701"/>
      <c r="E14" s="701"/>
      <c r="F14" s="425"/>
      <c r="G14" s="640"/>
      <c r="H14" s="170"/>
      <c r="I14" s="170"/>
      <c r="J14" s="220">
        <f t="shared" si="0"/>
        <v>0</v>
      </c>
      <c r="K14" s="222">
        <f t="shared" si="1"/>
        <v>0</v>
      </c>
      <c r="L14" s="1010"/>
      <c r="M14" s="29"/>
      <c r="N14" s="33"/>
      <c r="O14" s="33"/>
      <c r="P14" s="20"/>
      <c r="Q14" s="20"/>
      <c r="R14" s="20"/>
      <c r="S14" s="31"/>
      <c r="T14" s="30"/>
      <c r="U14" s="30"/>
      <c r="V14" s="30"/>
      <c r="W14" s="30"/>
      <c r="X14" s="32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1008"/>
      <c r="C15" s="700" t="s">
        <v>264</v>
      </c>
      <c r="D15" s="701" t="s">
        <v>265</v>
      </c>
      <c r="E15" s="701" t="s">
        <v>263</v>
      </c>
      <c r="F15" s="697" t="s">
        <v>214</v>
      </c>
      <c r="G15" s="640">
        <v>0</v>
      </c>
      <c r="H15" s="170">
        <v>0</v>
      </c>
      <c r="I15" s="170">
        <v>0</v>
      </c>
      <c r="J15" s="220">
        <f t="shared" si="0"/>
        <v>0</v>
      </c>
      <c r="K15" s="222">
        <f t="shared" si="1"/>
        <v>0</v>
      </c>
      <c r="L15" s="1010"/>
      <c r="M15" s="29"/>
      <c r="N15" s="33"/>
      <c r="O15" s="33"/>
      <c r="P15" s="20"/>
      <c r="Q15" s="20"/>
      <c r="R15" s="20"/>
      <c r="S15" s="31"/>
      <c r="T15" s="30"/>
      <c r="U15" s="30"/>
      <c r="V15" s="30"/>
      <c r="W15" s="30"/>
      <c r="X15" s="32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1008"/>
      <c r="C16" s="700" t="s">
        <v>266</v>
      </c>
      <c r="D16" s="701" t="s">
        <v>267</v>
      </c>
      <c r="E16" s="701" t="s">
        <v>258</v>
      </c>
      <c r="F16" s="697" t="s">
        <v>214</v>
      </c>
      <c r="G16" s="640">
        <v>0</v>
      </c>
      <c r="H16" s="170">
        <v>0</v>
      </c>
      <c r="I16" s="170">
        <v>0</v>
      </c>
      <c r="J16" s="220">
        <f t="shared" si="0"/>
        <v>0</v>
      </c>
      <c r="K16" s="222">
        <f t="shared" si="1"/>
        <v>0</v>
      </c>
      <c r="L16" s="1010"/>
      <c r="M16" s="29"/>
      <c r="N16" s="33"/>
      <c r="O16" s="33"/>
      <c r="P16" s="20"/>
      <c r="Q16" s="20"/>
      <c r="R16" s="20"/>
      <c r="S16" s="31"/>
      <c r="T16" s="30"/>
      <c r="U16" s="30"/>
      <c r="V16" s="30"/>
      <c r="W16" s="30"/>
      <c r="X16" s="32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1008"/>
      <c r="C17" s="700" t="s">
        <v>268</v>
      </c>
      <c r="D17" s="701" t="s">
        <v>269</v>
      </c>
      <c r="E17" s="701" t="s">
        <v>258</v>
      </c>
      <c r="F17" s="697" t="s">
        <v>214</v>
      </c>
      <c r="G17" s="640">
        <v>0</v>
      </c>
      <c r="H17" s="170">
        <v>0</v>
      </c>
      <c r="I17" s="170">
        <v>0</v>
      </c>
      <c r="J17" s="220">
        <f t="shared" si="0"/>
        <v>0</v>
      </c>
      <c r="K17" s="222">
        <f t="shared" si="1"/>
        <v>0</v>
      </c>
      <c r="L17" s="1010"/>
      <c r="M17" s="29"/>
      <c r="N17" s="33"/>
      <c r="O17" s="33"/>
      <c r="P17" s="20"/>
      <c r="Q17" s="20"/>
      <c r="R17" s="20"/>
      <c r="S17" s="31"/>
      <c r="T17" s="30"/>
      <c r="U17" s="30"/>
      <c r="V17" s="30"/>
      <c r="W17" s="30"/>
      <c r="X17" s="32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1008"/>
      <c r="C18" s="700" t="s">
        <v>270</v>
      </c>
      <c r="D18" s="701" t="s">
        <v>271</v>
      </c>
      <c r="E18" s="701" t="s">
        <v>258</v>
      </c>
      <c r="F18" s="697" t="s">
        <v>214</v>
      </c>
      <c r="G18" s="640">
        <v>0</v>
      </c>
      <c r="H18" s="170">
        <v>0</v>
      </c>
      <c r="I18" s="170">
        <v>0</v>
      </c>
      <c r="J18" s="220">
        <f t="shared" ref="J18:J23" si="2">SUM(G18:I18)</f>
        <v>0</v>
      </c>
      <c r="K18" s="222">
        <f t="shared" ref="K18:K23" si="3">+J18*(1+$L$7)</f>
        <v>0</v>
      </c>
      <c r="L18" s="1010"/>
      <c r="M18" s="29"/>
      <c r="N18" s="33"/>
      <c r="O18" s="33"/>
      <c r="P18" s="20"/>
      <c r="Q18" s="20"/>
      <c r="R18" s="20"/>
      <c r="S18" s="31"/>
      <c r="T18" s="30"/>
      <c r="U18" s="30"/>
      <c r="V18" s="30"/>
      <c r="W18" s="30"/>
      <c r="X18" s="32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1008"/>
      <c r="C19" s="700" t="s">
        <v>273</v>
      </c>
      <c r="D19" s="701" t="s">
        <v>274</v>
      </c>
      <c r="E19" s="701" t="s">
        <v>256</v>
      </c>
      <c r="F19" s="697" t="s">
        <v>214</v>
      </c>
      <c r="G19" s="640">
        <v>0</v>
      </c>
      <c r="H19" s="170">
        <v>0</v>
      </c>
      <c r="I19" s="170">
        <v>0</v>
      </c>
      <c r="J19" s="220">
        <f t="shared" si="2"/>
        <v>0</v>
      </c>
      <c r="K19" s="222">
        <f t="shared" si="3"/>
        <v>0</v>
      </c>
      <c r="L19" s="1010"/>
      <c r="M19" s="29"/>
      <c r="N19" s="33"/>
      <c r="O19" s="33"/>
      <c r="P19" s="20"/>
      <c r="Q19" s="20"/>
      <c r="R19" s="20"/>
      <c r="S19" s="31"/>
      <c r="T19" s="30"/>
      <c r="U19" s="30"/>
      <c r="V19" s="30"/>
      <c r="W19" s="30"/>
      <c r="X19" s="32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1008"/>
      <c r="C20" s="700" t="s">
        <v>275</v>
      </c>
      <c r="D20" s="701" t="s">
        <v>276</v>
      </c>
      <c r="E20" s="701" t="s">
        <v>257</v>
      </c>
      <c r="F20" s="697" t="s">
        <v>214</v>
      </c>
      <c r="G20" s="640">
        <v>0</v>
      </c>
      <c r="H20" s="170">
        <v>0</v>
      </c>
      <c r="I20" s="170">
        <v>0</v>
      </c>
      <c r="J20" s="220">
        <f t="shared" si="2"/>
        <v>0</v>
      </c>
      <c r="K20" s="222">
        <f t="shared" si="3"/>
        <v>0</v>
      </c>
      <c r="L20" s="1010"/>
      <c r="M20" s="29"/>
      <c r="N20" s="33"/>
      <c r="O20" s="33"/>
      <c r="P20" s="20"/>
      <c r="Q20" s="20"/>
      <c r="R20" s="20"/>
      <c r="S20" s="31"/>
      <c r="T20" s="30"/>
      <c r="U20" s="30"/>
      <c r="V20" s="30"/>
      <c r="W20" s="30"/>
      <c r="X20" s="32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ht="13.5" thickBot="1" x14ac:dyDescent="0.25">
      <c r="B21" s="1008"/>
      <c r="C21" s="713" t="s">
        <v>370</v>
      </c>
      <c r="D21" s="455"/>
      <c r="E21" s="712" t="s">
        <v>368</v>
      </c>
      <c r="F21" s="697" t="s">
        <v>214</v>
      </c>
      <c r="G21" s="640">
        <v>4620000</v>
      </c>
      <c r="H21" s="170">
        <v>312502</v>
      </c>
      <c r="I21" s="170">
        <v>0</v>
      </c>
      <c r="J21" s="220">
        <f t="shared" si="2"/>
        <v>4932502</v>
      </c>
      <c r="K21" s="222">
        <f t="shared" si="3"/>
        <v>5080477.0600000005</v>
      </c>
      <c r="L21" s="1010"/>
      <c r="M21" s="29"/>
      <c r="N21" s="33"/>
      <c r="O21" s="33"/>
      <c r="P21" s="20"/>
      <c r="Q21" s="20"/>
      <c r="R21" s="20"/>
      <c r="S21" s="31"/>
      <c r="T21" s="30"/>
      <c r="U21" s="30"/>
      <c r="V21" s="30"/>
      <c r="W21" s="30"/>
      <c r="X21" s="32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ht="13.5" thickBot="1" x14ac:dyDescent="0.25">
      <c r="B22" s="1008"/>
      <c r="C22" s="657"/>
      <c r="D22" s="455"/>
      <c r="E22" s="455"/>
      <c r="F22" s="426"/>
      <c r="G22" s="420"/>
      <c r="H22" s="420"/>
      <c r="I22" s="420"/>
      <c r="J22" s="421">
        <f t="shared" si="2"/>
        <v>0</v>
      </c>
      <c r="K22" s="422">
        <f t="shared" si="3"/>
        <v>0</v>
      </c>
      <c r="L22" s="997"/>
      <c r="M22" s="29"/>
      <c r="N22" s="33"/>
      <c r="O22" s="33"/>
      <c r="P22" s="20"/>
      <c r="Q22" s="20"/>
      <c r="R22" s="20"/>
      <c r="S22" s="31"/>
      <c r="T22" s="30"/>
      <c r="U22" s="30"/>
      <c r="V22" s="30"/>
      <c r="W22" s="30"/>
      <c r="X22" s="32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445" customFormat="1" ht="12.75" customHeight="1" x14ac:dyDescent="0.2">
      <c r="B23" s="995" t="s">
        <v>236</v>
      </c>
      <c r="C23" s="727" t="s">
        <v>371</v>
      </c>
      <c r="D23" s="424"/>
      <c r="E23" s="702" t="s">
        <v>258</v>
      </c>
      <c r="F23" s="643" t="s">
        <v>228</v>
      </c>
      <c r="G23" s="640">
        <v>0</v>
      </c>
      <c r="H23" s="218">
        <v>0</v>
      </c>
      <c r="I23" s="218">
        <v>0</v>
      </c>
      <c r="J23" s="219">
        <f t="shared" si="2"/>
        <v>0</v>
      </c>
      <c r="K23" s="221">
        <f t="shared" si="3"/>
        <v>0</v>
      </c>
      <c r="L23" s="996">
        <f>SUM(K23:K30)</f>
        <v>16577630.434487998</v>
      </c>
      <c r="M23" s="449"/>
      <c r="N23" s="453"/>
      <c r="O23" s="453"/>
      <c r="P23" s="448"/>
      <c r="Q23" s="448"/>
      <c r="R23" s="448"/>
      <c r="S23" s="451"/>
      <c r="T23" s="450"/>
      <c r="U23" s="450"/>
      <c r="V23" s="450"/>
      <c r="W23" s="450"/>
      <c r="X23" s="452"/>
      <c r="Z23" s="446"/>
      <c r="AA23" s="446"/>
      <c r="AB23" s="446"/>
      <c r="AC23" s="446"/>
      <c r="AD23" s="446"/>
      <c r="AE23" s="446"/>
      <c r="AF23" s="446"/>
      <c r="AG23" s="446"/>
      <c r="AH23" s="446"/>
      <c r="AI23" s="446"/>
      <c r="AJ23" s="446"/>
      <c r="AK23" s="446"/>
      <c r="AL23" s="446"/>
      <c r="AM23" s="446"/>
      <c r="AN23" s="446"/>
      <c r="AO23" s="446"/>
      <c r="AP23" s="446"/>
      <c r="AQ23" s="446"/>
      <c r="AR23" s="446"/>
      <c r="AS23" s="446"/>
      <c r="AT23" s="446"/>
      <c r="AU23" s="446"/>
      <c r="AV23" s="446"/>
      <c r="AW23" s="446"/>
      <c r="AX23" s="446"/>
      <c r="AY23" s="446"/>
      <c r="AZ23" s="446"/>
      <c r="BA23" s="446"/>
      <c r="BB23" s="446"/>
      <c r="BC23" s="446"/>
      <c r="BD23" s="446"/>
      <c r="BE23" s="446"/>
      <c r="BF23" s="446"/>
      <c r="BG23" s="446"/>
      <c r="BH23" s="446"/>
      <c r="BI23" s="446"/>
      <c r="BJ23" s="446"/>
      <c r="BK23" s="446"/>
      <c r="BL23" s="446"/>
      <c r="BM23" s="446"/>
      <c r="BN23" s="446"/>
      <c r="BO23" s="446"/>
      <c r="BP23" s="446"/>
      <c r="BQ23" s="446"/>
      <c r="BR23" s="446"/>
      <c r="BS23" s="446"/>
      <c r="BT23" s="446"/>
      <c r="BU23" s="446"/>
      <c r="BV23" s="446"/>
      <c r="BW23" s="446"/>
      <c r="BX23" s="446"/>
      <c r="BY23" s="446"/>
      <c r="BZ23" s="446"/>
      <c r="CA23" s="446"/>
      <c r="CB23" s="446"/>
      <c r="CC23" s="446"/>
      <c r="CD23" s="446"/>
      <c r="CE23" s="446"/>
      <c r="CF23" s="446"/>
      <c r="CG23" s="446"/>
      <c r="CH23" s="446"/>
      <c r="CI23" s="446"/>
      <c r="CJ23" s="446"/>
      <c r="CK23" s="446"/>
      <c r="CL23" s="446"/>
      <c r="CM23" s="446"/>
      <c r="CN23" s="446"/>
      <c r="CO23" s="446"/>
      <c r="CP23" s="446"/>
      <c r="CQ23" s="446"/>
      <c r="CR23" s="446"/>
      <c r="CS23" s="446"/>
      <c r="CT23" s="446"/>
      <c r="CU23" s="446"/>
      <c r="CV23" s="446"/>
      <c r="CW23" s="446"/>
      <c r="CX23" s="446"/>
      <c r="CY23" s="446"/>
      <c r="CZ23" s="446"/>
      <c r="DA23" s="446"/>
      <c r="DB23" s="446"/>
      <c r="DC23" s="446"/>
      <c r="DD23" s="446"/>
      <c r="DE23" s="446"/>
      <c r="DF23" s="446"/>
      <c r="DG23" s="446"/>
      <c r="DH23" s="446"/>
      <c r="DI23" s="446"/>
      <c r="DJ23" s="446"/>
      <c r="DK23" s="446"/>
      <c r="DL23" s="446"/>
      <c r="DM23" s="446"/>
      <c r="DN23" s="446"/>
      <c r="DO23" s="446"/>
      <c r="DP23" s="446"/>
      <c r="DQ23" s="446"/>
      <c r="DR23" s="446"/>
      <c r="DS23" s="446"/>
      <c r="DT23" s="446"/>
      <c r="DU23" s="446"/>
      <c r="DV23" s="446"/>
      <c r="DW23" s="446"/>
      <c r="DX23" s="446"/>
      <c r="DY23" s="446"/>
      <c r="DZ23" s="446"/>
      <c r="EA23" s="446"/>
      <c r="EB23" s="446"/>
      <c r="EC23" s="446"/>
      <c r="ED23" s="446"/>
      <c r="EE23" s="446"/>
      <c r="EF23" s="446"/>
      <c r="EG23" s="446"/>
      <c r="EH23" s="446"/>
      <c r="EI23" s="446"/>
      <c r="EJ23" s="446"/>
      <c r="EK23" s="446"/>
      <c r="EL23" s="446"/>
      <c r="EM23" s="446"/>
      <c r="EN23" s="446"/>
      <c r="EO23" s="446"/>
      <c r="EP23" s="446"/>
      <c r="EQ23" s="446"/>
      <c r="ER23" s="446"/>
      <c r="ES23" s="446"/>
      <c r="ET23" s="446"/>
      <c r="EU23" s="446"/>
      <c r="EV23" s="446"/>
      <c r="EW23" s="446"/>
      <c r="EX23" s="446"/>
      <c r="EY23" s="446"/>
      <c r="EZ23" s="446"/>
      <c r="FA23" s="446"/>
      <c r="FB23" s="446"/>
      <c r="FC23" s="446"/>
      <c r="FD23" s="446"/>
      <c r="FE23" s="446"/>
      <c r="FF23" s="446"/>
      <c r="FG23" s="446"/>
      <c r="FH23" s="446"/>
      <c r="FI23" s="446"/>
      <c r="FJ23" s="446"/>
      <c r="FK23" s="446"/>
      <c r="FL23" s="446"/>
      <c r="FM23" s="446"/>
      <c r="FN23" s="446"/>
      <c r="FO23" s="446"/>
      <c r="FP23" s="446"/>
      <c r="FQ23" s="446"/>
      <c r="FR23" s="446"/>
      <c r="FS23" s="446"/>
      <c r="FT23" s="446"/>
      <c r="FU23" s="446"/>
      <c r="FV23" s="446"/>
      <c r="FW23" s="446"/>
      <c r="FX23" s="446"/>
      <c r="FY23" s="446"/>
      <c r="FZ23" s="446"/>
      <c r="GA23" s="446"/>
      <c r="GB23" s="446"/>
      <c r="GC23" s="446"/>
      <c r="GD23" s="446"/>
      <c r="GE23" s="446"/>
      <c r="GF23" s="446"/>
      <c r="GG23" s="446"/>
      <c r="GH23" s="446"/>
      <c r="GI23" s="446"/>
      <c r="GJ23" s="446"/>
      <c r="GK23" s="446"/>
      <c r="GL23" s="446"/>
      <c r="GM23" s="446"/>
      <c r="GN23" s="446"/>
      <c r="GO23" s="446"/>
      <c r="GP23" s="446"/>
      <c r="GQ23" s="446"/>
      <c r="GR23" s="446"/>
      <c r="GS23" s="446"/>
      <c r="GT23" s="446"/>
      <c r="GU23" s="446"/>
      <c r="GV23" s="446"/>
      <c r="GW23" s="446"/>
      <c r="GX23" s="446"/>
      <c r="GY23" s="446"/>
      <c r="GZ23" s="446"/>
      <c r="HA23" s="446"/>
      <c r="HB23" s="446"/>
      <c r="HC23" s="446"/>
      <c r="HD23" s="446"/>
      <c r="HE23" s="446"/>
      <c r="HF23" s="446"/>
      <c r="HG23" s="446"/>
      <c r="HH23" s="446"/>
      <c r="HI23" s="446"/>
      <c r="HJ23" s="446"/>
      <c r="HK23" s="446"/>
      <c r="HL23" s="446"/>
      <c r="HM23" s="446"/>
      <c r="HN23" s="446"/>
      <c r="HO23" s="446"/>
      <c r="HP23" s="446"/>
      <c r="HQ23" s="446"/>
      <c r="HR23" s="446"/>
      <c r="HS23" s="446"/>
      <c r="HT23" s="446"/>
      <c r="HU23" s="446"/>
      <c r="HV23" s="446"/>
      <c r="HW23" s="446"/>
      <c r="HX23" s="446"/>
      <c r="HY23" s="446"/>
      <c r="HZ23" s="446"/>
      <c r="IA23" s="446"/>
      <c r="IB23" s="446"/>
      <c r="IC23" s="446"/>
      <c r="ID23" s="446"/>
      <c r="IE23" s="446"/>
      <c r="IF23" s="446"/>
      <c r="IG23" s="446"/>
      <c r="IH23" s="446"/>
      <c r="II23" s="446"/>
      <c r="IJ23" s="446"/>
      <c r="IK23" s="446"/>
      <c r="IL23" s="446"/>
      <c r="IM23" s="446"/>
      <c r="IN23" s="446"/>
      <c r="IO23" s="446"/>
      <c r="IP23" s="446"/>
      <c r="IQ23" s="446"/>
      <c r="IR23" s="446"/>
      <c r="IS23" s="446"/>
      <c r="IT23" s="446"/>
      <c r="IU23" s="446"/>
      <c r="IV23" s="446"/>
      <c r="IW23" s="446"/>
      <c r="IX23" s="446"/>
      <c r="IY23" s="446"/>
    </row>
    <row r="24" spans="2:259" s="445" customFormat="1" ht="12.75" customHeight="1" x14ac:dyDescent="0.2">
      <c r="B24" s="824"/>
      <c r="C24" s="700" t="s">
        <v>247</v>
      </c>
      <c r="D24" s="701" t="s">
        <v>253</v>
      </c>
      <c r="E24" s="701" t="s">
        <v>256</v>
      </c>
      <c r="F24" s="643" t="s">
        <v>228</v>
      </c>
      <c r="G24" s="640">
        <v>4756627.9151999997</v>
      </c>
      <c r="H24" s="170">
        <v>312502</v>
      </c>
      <c r="I24" s="170">
        <v>123822</v>
      </c>
      <c r="J24" s="465">
        <f t="shared" ref="J24:J29" si="4">SUM(G24:I24)</f>
        <v>5192951.9151999997</v>
      </c>
      <c r="K24" s="423">
        <f t="shared" ref="K24:K29" si="5">+J24*(1+$L$7)</f>
        <v>5348740.4726559995</v>
      </c>
      <c r="L24" s="997"/>
      <c r="M24" s="449"/>
      <c r="N24" s="453"/>
      <c r="O24" s="453"/>
      <c r="P24" s="448"/>
      <c r="Q24" s="448"/>
      <c r="R24" s="448"/>
      <c r="S24" s="451"/>
      <c r="T24" s="450"/>
      <c r="U24" s="450"/>
      <c r="V24" s="450"/>
      <c r="W24" s="450"/>
      <c r="X24" s="452"/>
      <c r="Z24" s="446"/>
      <c r="AA24" s="446"/>
      <c r="AB24" s="446"/>
      <c r="AC24" s="446"/>
      <c r="AD24" s="446"/>
      <c r="AE24" s="446"/>
      <c r="AF24" s="446"/>
      <c r="AG24" s="446"/>
      <c r="AH24" s="446"/>
      <c r="AI24" s="446"/>
      <c r="AJ24" s="446"/>
      <c r="AK24" s="446"/>
      <c r="AL24" s="446"/>
      <c r="AM24" s="446"/>
      <c r="AN24" s="446"/>
      <c r="AO24" s="446"/>
      <c r="AP24" s="446"/>
      <c r="AQ24" s="446"/>
      <c r="AR24" s="446"/>
      <c r="AS24" s="446"/>
      <c r="AT24" s="446"/>
      <c r="AU24" s="446"/>
      <c r="AV24" s="446"/>
      <c r="AW24" s="446"/>
      <c r="AX24" s="446"/>
      <c r="AY24" s="446"/>
      <c r="AZ24" s="446"/>
      <c r="BA24" s="446"/>
      <c r="BB24" s="446"/>
      <c r="BC24" s="446"/>
      <c r="BD24" s="446"/>
      <c r="BE24" s="446"/>
      <c r="BF24" s="446"/>
      <c r="BG24" s="446"/>
      <c r="BH24" s="446"/>
      <c r="BI24" s="446"/>
      <c r="BJ24" s="446"/>
      <c r="BK24" s="446"/>
      <c r="BL24" s="446"/>
      <c r="BM24" s="446"/>
      <c r="BN24" s="446"/>
      <c r="BO24" s="446"/>
      <c r="BP24" s="446"/>
      <c r="BQ24" s="446"/>
      <c r="BR24" s="446"/>
      <c r="BS24" s="446"/>
      <c r="BT24" s="446"/>
      <c r="BU24" s="446"/>
      <c r="BV24" s="446"/>
      <c r="BW24" s="446"/>
      <c r="BX24" s="446"/>
      <c r="BY24" s="446"/>
      <c r="BZ24" s="446"/>
      <c r="CA24" s="446"/>
      <c r="CB24" s="446"/>
      <c r="CC24" s="446"/>
      <c r="CD24" s="446"/>
      <c r="CE24" s="446"/>
      <c r="CF24" s="446"/>
      <c r="CG24" s="446"/>
      <c r="CH24" s="446"/>
      <c r="CI24" s="446"/>
      <c r="CJ24" s="446"/>
      <c r="CK24" s="446"/>
      <c r="CL24" s="446"/>
      <c r="CM24" s="446"/>
      <c r="CN24" s="446"/>
      <c r="CO24" s="446"/>
      <c r="CP24" s="446"/>
      <c r="CQ24" s="446"/>
      <c r="CR24" s="446"/>
      <c r="CS24" s="446"/>
      <c r="CT24" s="446"/>
      <c r="CU24" s="446"/>
      <c r="CV24" s="446"/>
      <c r="CW24" s="446"/>
      <c r="CX24" s="446"/>
      <c r="CY24" s="446"/>
      <c r="CZ24" s="446"/>
      <c r="DA24" s="446"/>
      <c r="DB24" s="446"/>
      <c r="DC24" s="446"/>
      <c r="DD24" s="446"/>
      <c r="DE24" s="446"/>
      <c r="DF24" s="446"/>
      <c r="DG24" s="446"/>
      <c r="DH24" s="446"/>
      <c r="DI24" s="446"/>
      <c r="DJ24" s="446"/>
      <c r="DK24" s="446"/>
      <c r="DL24" s="446"/>
      <c r="DM24" s="446"/>
      <c r="DN24" s="446"/>
      <c r="DO24" s="446"/>
      <c r="DP24" s="446"/>
      <c r="DQ24" s="446"/>
      <c r="DR24" s="446"/>
      <c r="DS24" s="446"/>
      <c r="DT24" s="446"/>
      <c r="DU24" s="446"/>
      <c r="DV24" s="446"/>
      <c r="DW24" s="446"/>
      <c r="DX24" s="446"/>
      <c r="DY24" s="446"/>
      <c r="DZ24" s="446"/>
      <c r="EA24" s="446"/>
      <c r="EB24" s="446"/>
      <c r="EC24" s="446"/>
      <c r="ED24" s="446"/>
      <c r="EE24" s="446"/>
      <c r="EF24" s="446"/>
      <c r="EG24" s="446"/>
      <c r="EH24" s="446"/>
      <c r="EI24" s="446"/>
      <c r="EJ24" s="446"/>
      <c r="EK24" s="446"/>
      <c r="EL24" s="446"/>
      <c r="EM24" s="446"/>
      <c r="EN24" s="446"/>
      <c r="EO24" s="446"/>
      <c r="EP24" s="446"/>
      <c r="EQ24" s="446"/>
      <c r="ER24" s="446"/>
      <c r="ES24" s="446"/>
      <c r="ET24" s="446"/>
      <c r="EU24" s="446"/>
      <c r="EV24" s="446"/>
      <c r="EW24" s="446"/>
      <c r="EX24" s="446"/>
      <c r="EY24" s="446"/>
      <c r="EZ24" s="446"/>
      <c r="FA24" s="446"/>
      <c r="FB24" s="446"/>
      <c r="FC24" s="446"/>
      <c r="FD24" s="446"/>
      <c r="FE24" s="446"/>
      <c r="FF24" s="446"/>
      <c r="FG24" s="446"/>
      <c r="FH24" s="446"/>
      <c r="FI24" s="446"/>
      <c r="FJ24" s="446"/>
      <c r="FK24" s="446"/>
      <c r="FL24" s="446"/>
      <c r="FM24" s="446"/>
      <c r="FN24" s="446"/>
      <c r="FO24" s="446"/>
      <c r="FP24" s="446"/>
      <c r="FQ24" s="446"/>
      <c r="FR24" s="446"/>
      <c r="FS24" s="446"/>
      <c r="FT24" s="446"/>
      <c r="FU24" s="446"/>
      <c r="FV24" s="446"/>
      <c r="FW24" s="446"/>
      <c r="FX24" s="446"/>
      <c r="FY24" s="446"/>
      <c r="FZ24" s="446"/>
      <c r="GA24" s="446"/>
      <c r="GB24" s="446"/>
      <c r="GC24" s="446"/>
      <c r="GD24" s="446"/>
      <c r="GE24" s="446"/>
      <c r="GF24" s="446"/>
      <c r="GG24" s="446"/>
      <c r="GH24" s="446"/>
      <c r="GI24" s="446"/>
      <c r="GJ24" s="446"/>
      <c r="GK24" s="446"/>
      <c r="GL24" s="446"/>
      <c r="GM24" s="446"/>
      <c r="GN24" s="446"/>
      <c r="GO24" s="446"/>
      <c r="GP24" s="446"/>
      <c r="GQ24" s="446"/>
      <c r="GR24" s="446"/>
      <c r="GS24" s="446"/>
      <c r="GT24" s="446"/>
      <c r="GU24" s="446"/>
      <c r="GV24" s="446"/>
      <c r="GW24" s="446"/>
      <c r="GX24" s="446"/>
      <c r="GY24" s="446"/>
      <c r="GZ24" s="446"/>
      <c r="HA24" s="446"/>
      <c r="HB24" s="446"/>
      <c r="HC24" s="446"/>
      <c r="HD24" s="446"/>
      <c r="HE24" s="446"/>
      <c r="HF24" s="446"/>
      <c r="HG24" s="446"/>
      <c r="HH24" s="446"/>
      <c r="HI24" s="446"/>
      <c r="HJ24" s="446"/>
      <c r="HK24" s="446"/>
      <c r="HL24" s="446"/>
      <c r="HM24" s="446"/>
      <c r="HN24" s="446"/>
      <c r="HO24" s="446"/>
      <c r="HP24" s="446"/>
      <c r="HQ24" s="446"/>
      <c r="HR24" s="446"/>
      <c r="HS24" s="446"/>
      <c r="HT24" s="446"/>
      <c r="HU24" s="446"/>
      <c r="HV24" s="446"/>
      <c r="HW24" s="446"/>
      <c r="HX24" s="446"/>
      <c r="HY24" s="446"/>
      <c r="HZ24" s="446"/>
      <c r="IA24" s="446"/>
      <c r="IB24" s="446"/>
      <c r="IC24" s="446"/>
      <c r="ID24" s="446"/>
      <c r="IE24" s="446"/>
      <c r="IF24" s="446"/>
      <c r="IG24" s="446"/>
      <c r="IH24" s="446"/>
      <c r="II24" s="446"/>
      <c r="IJ24" s="446"/>
      <c r="IK24" s="446"/>
      <c r="IL24" s="446"/>
      <c r="IM24" s="446"/>
      <c r="IN24" s="446"/>
      <c r="IO24" s="446"/>
      <c r="IP24" s="446"/>
      <c r="IQ24" s="446"/>
      <c r="IR24" s="446"/>
      <c r="IS24" s="446"/>
      <c r="IT24" s="446"/>
      <c r="IU24" s="446"/>
      <c r="IV24" s="446"/>
      <c r="IW24" s="446"/>
      <c r="IX24" s="446"/>
      <c r="IY24" s="446"/>
    </row>
    <row r="25" spans="2:259" s="445" customFormat="1" ht="12.75" customHeight="1" x14ac:dyDescent="0.2">
      <c r="B25" s="824"/>
      <c r="C25" s="773" t="s">
        <v>250</v>
      </c>
      <c r="D25" s="701" t="s">
        <v>251</v>
      </c>
      <c r="E25" s="701" t="s">
        <v>256</v>
      </c>
      <c r="F25" s="643" t="s">
        <v>228</v>
      </c>
      <c r="G25" s="640">
        <v>4756627.9151999997</v>
      </c>
      <c r="H25" s="170">
        <v>312502</v>
      </c>
      <c r="I25" s="170">
        <v>123822</v>
      </c>
      <c r="J25" s="465">
        <f>SUM(G25:I25)</f>
        <v>5192951.9151999997</v>
      </c>
      <c r="K25" s="423">
        <f t="shared" si="5"/>
        <v>5348740.4726559995</v>
      </c>
      <c r="L25" s="997"/>
      <c r="M25" s="449"/>
      <c r="N25" s="453"/>
      <c r="O25" s="453"/>
      <c r="P25" s="448"/>
      <c r="Q25" s="448"/>
      <c r="R25" s="448"/>
      <c r="S25" s="451"/>
      <c r="T25" s="450"/>
      <c r="U25" s="450"/>
      <c r="V25" s="450"/>
      <c r="W25" s="450"/>
      <c r="X25" s="452"/>
      <c r="Z25" s="446"/>
      <c r="AA25" s="446"/>
      <c r="AB25" s="446"/>
      <c r="AC25" s="446"/>
      <c r="AD25" s="446"/>
      <c r="AE25" s="446"/>
      <c r="AF25" s="446"/>
      <c r="AG25" s="446"/>
      <c r="AH25" s="446"/>
      <c r="AI25" s="446"/>
      <c r="AJ25" s="446"/>
      <c r="AK25" s="446"/>
      <c r="AL25" s="446"/>
      <c r="AM25" s="446"/>
      <c r="AN25" s="446"/>
      <c r="AO25" s="446"/>
      <c r="AP25" s="446"/>
      <c r="AQ25" s="446"/>
      <c r="AR25" s="446"/>
      <c r="AS25" s="446"/>
      <c r="AT25" s="446"/>
      <c r="AU25" s="446"/>
      <c r="AV25" s="446"/>
      <c r="AW25" s="446"/>
      <c r="AX25" s="446"/>
      <c r="AY25" s="446"/>
      <c r="AZ25" s="446"/>
      <c r="BA25" s="446"/>
      <c r="BB25" s="446"/>
      <c r="BC25" s="446"/>
      <c r="BD25" s="446"/>
      <c r="BE25" s="446"/>
      <c r="BF25" s="446"/>
      <c r="BG25" s="446"/>
      <c r="BH25" s="446"/>
      <c r="BI25" s="446"/>
      <c r="BJ25" s="446"/>
      <c r="BK25" s="446"/>
      <c r="BL25" s="446"/>
      <c r="BM25" s="446"/>
      <c r="BN25" s="446"/>
      <c r="BO25" s="446"/>
      <c r="BP25" s="446"/>
      <c r="BQ25" s="446"/>
      <c r="BR25" s="446"/>
      <c r="BS25" s="446"/>
      <c r="BT25" s="446"/>
      <c r="BU25" s="446"/>
      <c r="BV25" s="446"/>
      <c r="BW25" s="446"/>
      <c r="BX25" s="446"/>
      <c r="BY25" s="446"/>
      <c r="BZ25" s="446"/>
      <c r="CA25" s="446"/>
      <c r="CB25" s="446"/>
      <c r="CC25" s="446"/>
      <c r="CD25" s="446"/>
      <c r="CE25" s="446"/>
      <c r="CF25" s="446"/>
      <c r="CG25" s="446"/>
      <c r="CH25" s="446"/>
      <c r="CI25" s="446"/>
      <c r="CJ25" s="446"/>
      <c r="CK25" s="446"/>
      <c r="CL25" s="446"/>
      <c r="CM25" s="446"/>
      <c r="CN25" s="446"/>
      <c r="CO25" s="446"/>
      <c r="CP25" s="446"/>
      <c r="CQ25" s="446"/>
      <c r="CR25" s="446"/>
      <c r="CS25" s="446"/>
      <c r="CT25" s="446"/>
      <c r="CU25" s="446"/>
      <c r="CV25" s="446"/>
      <c r="CW25" s="446"/>
      <c r="CX25" s="446"/>
      <c r="CY25" s="446"/>
      <c r="CZ25" s="446"/>
      <c r="DA25" s="446"/>
      <c r="DB25" s="446"/>
      <c r="DC25" s="446"/>
      <c r="DD25" s="446"/>
      <c r="DE25" s="446"/>
      <c r="DF25" s="446"/>
      <c r="DG25" s="446"/>
      <c r="DH25" s="446"/>
      <c r="DI25" s="446"/>
      <c r="DJ25" s="446"/>
      <c r="DK25" s="446"/>
      <c r="DL25" s="446"/>
      <c r="DM25" s="446"/>
      <c r="DN25" s="446"/>
      <c r="DO25" s="446"/>
      <c r="DP25" s="446"/>
      <c r="DQ25" s="446"/>
      <c r="DR25" s="446"/>
      <c r="DS25" s="446"/>
      <c r="DT25" s="446"/>
      <c r="DU25" s="446"/>
      <c r="DV25" s="446"/>
      <c r="DW25" s="446"/>
      <c r="DX25" s="446"/>
      <c r="DY25" s="446"/>
      <c r="DZ25" s="446"/>
      <c r="EA25" s="446"/>
      <c r="EB25" s="446"/>
      <c r="EC25" s="446"/>
      <c r="ED25" s="446"/>
      <c r="EE25" s="446"/>
      <c r="EF25" s="446"/>
      <c r="EG25" s="446"/>
      <c r="EH25" s="446"/>
      <c r="EI25" s="446"/>
      <c r="EJ25" s="446"/>
      <c r="EK25" s="446"/>
      <c r="EL25" s="446"/>
      <c r="EM25" s="446"/>
      <c r="EN25" s="446"/>
      <c r="EO25" s="446"/>
      <c r="EP25" s="446"/>
      <c r="EQ25" s="446"/>
      <c r="ER25" s="446"/>
      <c r="ES25" s="446"/>
      <c r="ET25" s="446"/>
      <c r="EU25" s="446"/>
      <c r="EV25" s="446"/>
      <c r="EW25" s="446"/>
      <c r="EX25" s="446"/>
      <c r="EY25" s="446"/>
      <c r="EZ25" s="446"/>
      <c r="FA25" s="446"/>
      <c r="FB25" s="446"/>
      <c r="FC25" s="446"/>
      <c r="FD25" s="446"/>
      <c r="FE25" s="446"/>
      <c r="FF25" s="446"/>
      <c r="FG25" s="446"/>
      <c r="FH25" s="446"/>
      <c r="FI25" s="446"/>
      <c r="FJ25" s="446"/>
      <c r="FK25" s="446"/>
      <c r="FL25" s="446"/>
      <c r="FM25" s="446"/>
      <c r="FN25" s="446"/>
      <c r="FO25" s="446"/>
      <c r="FP25" s="446"/>
      <c r="FQ25" s="446"/>
      <c r="FR25" s="446"/>
      <c r="FS25" s="446"/>
      <c r="FT25" s="446"/>
      <c r="FU25" s="446"/>
      <c r="FV25" s="446"/>
      <c r="FW25" s="446"/>
      <c r="FX25" s="446"/>
      <c r="FY25" s="446"/>
      <c r="FZ25" s="446"/>
      <c r="GA25" s="446"/>
      <c r="GB25" s="446"/>
      <c r="GC25" s="446"/>
      <c r="GD25" s="446"/>
      <c r="GE25" s="446"/>
      <c r="GF25" s="446"/>
      <c r="GG25" s="446"/>
      <c r="GH25" s="446"/>
      <c r="GI25" s="446"/>
      <c r="GJ25" s="446"/>
      <c r="GK25" s="446"/>
      <c r="GL25" s="446"/>
      <c r="GM25" s="446"/>
      <c r="GN25" s="446"/>
      <c r="GO25" s="446"/>
      <c r="GP25" s="446"/>
      <c r="GQ25" s="446"/>
      <c r="GR25" s="446"/>
      <c r="GS25" s="446"/>
      <c r="GT25" s="446"/>
      <c r="GU25" s="446"/>
      <c r="GV25" s="446"/>
      <c r="GW25" s="446"/>
      <c r="GX25" s="446"/>
      <c r="GY25" s="446"/>
      <c r="GZ25" s="446"/>
      <c r="HA25" s="446"/>
      <c r="HB25" s="446"/>
      <c r="HC25" s="446"/>
      <c r="HD25" s="446"/>
      <c r="HE25" s="446"/>
      <c r="HF25" s="446"/>
      <c r="HG25" s="446"/>
      <c r="HH25" s="446"/>
      <c r="HI25" s="446"/>
      <c r="HJ25" s="446"/>
      <c r="HK25" s="446"/>
      <c r="HL25" s="446"/>
      <c r="HM25" s="446"/>
      <c r="HN25" s="446"/>
      <c r="HO25" s="446"/>
      <c r="HP25" s="446"/>
      <c r="HQ25" s="446"/>
      <c r="HR25" s="446"/>
      <c r="HS25" s="446"/>
      <c r="HT25" s="446"/>
      <c r="HU25" s="446"/>
      <c r="HV25" s="446"/>
      <c r="HW25" s="446"/>
      <c r="HX25" s="446"/>
      <c r="HY25" s="446"/>
      <c r="HZ25" s="446"/>
      <c r="IA25" s="446"/>
      <c r="IB25" s="446"/>
      <c r="IC25" s="446"/>
      <c r="ID25" s="446"/>
      <c r="IE25" s="446"/>
      <c r="IF25" s="446"/>
      <c r="IG25" s="446"/>
      <c r="IH25" s="446"/>
      <c r="II25" s="446"/>
      <c r="IJ25" s="446"/>
      <c r="IK25" s="446"/>
      <c r="IL25" s="446"/>
      <c r="IM25" s="446"/>
      <c r="IN25" s="446"/>
      <c r="IO25" s="446"/>
      <c r="IP25" s="446"/>
      <c r="IQ25" s="446"/>
      <c r="IR25" s="446"/>
      <c r="IS25" s="446"/>
      <c r="IT25" s="446"/>
      <c r="IU25" s="446"/>
      <c r="IV25" s="446"/>
      <c r="IW25" s="446"/>
      <c r="IX25" s="446"/>
      <c r="IY25" s="446"/>
    </row>
    <row r="26" spans="2:259" s="445" customFormat="1" ht="12.75" customHeight="1" x14ac:dyDescent="0.2">
      <c r="B26" s="824"/>
      <c r="C26" s="773" t="s">
        <v>254</v>
      </c>
      <c r="D26" s="701" t="s">
        <v>255</v>
      </c>
      <c r="E26" s="701" t="s">
        <v>257</v>
      </c>
      <c r="F26" s="643" t="s">
        <v>228</v>
      </c>
      <c r="G26" s="640">
        <v>5272558.9991999995</v>
      </c>
      <c r="H26" s="454">
        <v>312502</v>
      </c>
      <c r="I26" s="454">
        <v>123822</v>
      </c>
      <c r="J26" s="465">
        <f t="shared" si="4"/>
        <v>5708882.9991999995</v>
      </c>
      <c r="K26" s="423">
        <f t="shared" si="5"/>
        <v>5880149.4891759995</v>
      </c>
      <c r="L26" s="997"/>
      <c r="M26" s="449"/>
      <c r="N26" s="453"/>
      <c r="O26" s="453"/>
      <c r="P26" s="448"/>
      <c r="Q26" s="448"/>
      <c r="R26" s="448"/>
      <c r="S26" s="451"/>
      <c r="T26" s="450"/>
      <c r="U26" s="450"/>
      <c r="V26" s="450"/>
      <c r="W26" s="450"/>
      <c r="X26" s="452"/>
      <c r="Z26" s="446"/>
      <c r="AA26" s="446"/>
      <c r="AB26" s="446"/>
      <c r="AC26" s="446"/>
      <c r="AD26" s="446"/>
      <c r="AE26" s="446"/>
      <c r="AF26" s="446"/>
      <c r="AG26" s="446"/>
      <c r="AH26" s="446"/>
      <c r="AI26" s="446"/>
      <c r="AJ26" s="446"/>
      <c r="AK26" s="446"/>
      <c r="AL26" s="446"/>
      <c r="AM26" s="446"/>
      <c r="AN26" s="446"/>
      <c r="AO26" s="446"/>
      <c r="AP26" s="446"/>
      <c r="AQ26" s="446"/>
      <c r="AR26" s="446"/>
      <c r="AS26" s="446"/>
      <c r="AT26" s="446"/>
      <c r="AU26" s="446"/>
      <c r="AV26" s="446"/>
      <c r="AW26" s="446"/>
      <c r="AX26" s="446"/>
      <c r="AY26" s="446"/>
      <c r="AZ26" s="446"/>
      <c r="BA26" s="446"/>
      <c r="BB26" s="446"/>
      <c r="BC26" s="446"/>
      <c r="BD26" s="446"/>
      <c r="BE26" s="446"/>
      <c r="BF26" s="446"/>
      <c r="BG26" s="446"/>
      <c r="BH26" s="446"/>
      <c r="BI26" s="446"/>
      <c r="BJ26" s="446"/>
      <c r="BK26" s="446"/>
      <c r="BL26" s="446"/>
      <c r="BM26" s="446"/>
      <c r="BN26" s="446"/>
      <c r="BO26" s="446"/>
      <c r="BP26" s="446"/>
      <c r="BQ26" s="446"/>
      <c r="BR26" s="446"/>
      <c r="BS26" s="446"/>
      <c r="BT26" s="446"/>
      <c r="BU26" s="446"/>
      <c r="BV26" s="446"/>
      <c r="BW26" s="446"/>
      <c r="BX26" s="446"/>
      <c r="BY26" s="446"/>
      <c r="BZ26" s="446"/>
      <c r="CA26" s="446"/>
      <c r="CB26" s="446"/>
      <c r="CC26" s="446"/>
      <c r="CD26" s="446"/>
      <c r="CE26" s="446"/>
      <c r="CF26" s="446"/>
      <c r="CG26" s="446"/>
      <c r="CH26" s="446"/>
      <c r="CI26" s="446"/>
      <c r="CJ26" s="446"/>
      <c r="CK26" s="446"/>
      <c r="CL26" s="446"/>
      <c r="CM26" s="446"/>
      <c r="CN26" s="446"/>
      <c r="CO26" s="446"/>
      <c r="CP26" s="446"/>
      <c r="CQ26" s="446"/>
      <c r="CR26" s="446"/>
      <c r="CS26" s="446"/>
      <c r="CT26" s="446"/>
      <c r="CU26" s="446"/>
      <c r="CV26" s="446"/>
      <c r="CW26" s="446"/>
      <c r="CX26" s="446"/>
      <c r="CY26" s="446"/>
      <c r="CZ26" s="446"/>
      <c r="DA26" s="446"/>
      <c r="DB26" s="446"/>
      <c r="DC26" s="446"/>
      <c r="DD26" s="446"/>
      <c r="DE26" s="446"/>
      <c r="DF26" s="446"/>
      <c r="DG26" s="446"/>
      <c r="DH26" s="446"/>
      <c r="DI26" s="446"/>
      <c r="DJ26" s="446"/>
      <c r="DK26" s="446"/>
      <c r="DL26" s="446"/>
      <c r="DM26" s="446"/>
      <c r="DN26" s="446"/>
      <c r="DO26" s="446"/>
      <c r="DP26" s="446"/>
      <c r="DQ26" s="446"/>
      <c r="DR26" s="446"/>
      <c r="DS26" s="446"/>
      <c r="DT26" s="446"/>
      <c r="DU26" s="446"/>
      <c r="DV26" s="446"/>
      <c r="DW26" s="446"/>
      <c r="DX26" s="446"/>
      <c r="DY26" s="446"/>
      <c r="DZ26" s="446"/>
      <c r="EA26" s="446"/>
      <c r="EB26" s="446"/>
      <c r="EC26" s="446"/>
      <c r="ED26" s="446"/>
      <c r="EE26" s="446"/>
      <c r="EF26" s="446"/>
      <c r="EG26" s="446"/>
      <c r="EH26" s="446"/>
      <c r="EI26" s="446"/>
      <c r="EJ26" s="446"/>
      <c r="EK26" s="446"/>
      <c r="EL26" s="446"/>
      <c r="EM26" s="446"/>
      <c r="EN26" s="446"/>
      <c r="EO26" s="446"/>
      <c r="EP26" s="446"/>
      <c r="EQ26" s="446"/>
      <c r="ER26" s="446"/>
      <c r="ES26" s="446"/>
      <c r="ET26" s="446"/>
      <c r="EU26" s="446"/>
      <c r="EV26" s="446"/>
      <c r="EW26" s="446"/>
      <c r="EX26" s="446"/>
      <c r="EY26" s="446"/>
      <c r="EZ26" s="446"/>
      <c r="FA26" s="446"/>
      <c r="FB26" s="446"/>
      <c r="FC26" s="446"/>
      <c r="FD26" s="446"/>
      <c r="FE26" s="446"/>
      <c r="FF26" s="446"/>
      <c r="FG26" s="446"/>
      <c r="FH26" s="446"/>
      <c r="FI26" s="446"/>
      <c r="FJ26" s="446"/>
      <c r="FK26" s="446"/>
      <c r="FL26" s="446"/>
      <c r="FM26" s="446"/>
      <c r="FN26" s="446"/>
      <c r="FO26" s="446"/>
      <c r="FP26" s="446"/>
      <c r="FQ26" s="446"/>
      <c r="FR26" s="446"/>
      <c r="FS26" s="446"/>
      <c r="FT26" s="446"/>
      <c r="FU26" s="446"/>
      <c r="FV26" s="446"/>
      <c r="FW26" s="446"/>
      <c r="FX26" s="446"/>
      <c r="FY26" s="446"/>
      <c r="FZ26" s="446"/>
      <c r="GA26" s="446"/>
      <c r="GB26" s="446"/>
      <c r="GC26" s="446"/>
      <c r="GD26" s="446"/>
      <c r="GE26" s="446"/>
      <c r="GF26" s="446"/>
      <c r="GG26" s="446"/>
      <c r="GH26" s="446"/>
      <c r="GI26" s="446"/>
      <c r="GJ26" s="446"/>
      <c r="GK26" s="446"/>
      <c r="GL26" s="446"/>
      <c r="GM26" s="446"/>
      <c r="GN26" s="446"/>
      <c r="GO26" s="446"/>
      <c r="GP26" s="446"/>
      <c r="GQ26" s="446"/>
      <c r="GR26" s="446"/>
      <c r="GS26" s="446"/>
      <c r="GT26" s="446"/>
      <c r="GU26" s="446"/>
      <c r="GV26" s="446"/>
      <c r="GW26" s="446"/>
      <c r="GX26" s="446"/>
      <c r="GY26" s="446"/>
      <c r="GZ26" s="446"/>
      <c r="HA26" s="446"/>
      <c r="HB26" s="446"/>
      <c r="HC26" s="446"/>
      <c r="HD26" s="446"/>
      <c r="HE26" s="446"/>
      <c r="HF26" s="446"/>
      <c r="HG26" s="446"/>
      <c r="HH26" s="446"/>
      <c r="HI26" s="446"/>
      <c r="HJ26" s="446"/>
      <c r="HK26" s="446"/>
      <c r="HL26" s="446"/>
      <c r="HM26" s="446"/>
      <c r="HN26" s="446"/>
      <c r="HO26" s="446"/>
      <c r="HP26" s="446"/>
      <c r="HQ26" s="446"/>
      <c r="HR26" s="446"/>
      <c r="HS26" s="446"/>
      <c r="HT26" s="446"/>
      <c r="HU26" s="446"/>
      <c r="HV26" s="446"/>
      <c r="HW26" s="446"/>
      <c r="HX26" s="446"/>
      <c r="HY26" s="446"/>
      <c r="HZ26" s="446"/>
      <c r="IA26" s="446"/>
      <c r="IB26" s="446"/>
      <c r="IC26" s="446"/>
      <c r="ID26" s="446"/>
      <c r="IE26" s="446"/>
      <c r="IF26" s="446"/>
      <c r="IG26" s="446"/>
      <c r="IH26" s="446"/>
      <c r="II26" s="446"/>
      <c r="IJ26" s="446"/>
      <c r="IK26" s="446"/>
      <c r="IL26" s="446"/>
      <c r="IM26" s="446"/>
      <c r="IN26" s="446"/>
      <c r="IO26" s="446"/>
      <c r="IP26" s="446"/>
      <c r="IQ26" s="446"/>
      <c r="IR26" s="446"/>
      <c r="IS26" s="446"/>
      <c r="IT26" s="446"/>
      <c r="IU26" s="446"/>
      <c r="IV26" s="446"/>
      <c r="IW26" s="446"/>
      <c r="IX26" s="446"/>
      <c r="IY26" s="446"/>
    </row>
    <row r="27" spans="2:259" s="445" customFormat="1" ht="12.75" customHeight="1" x14ac:dyDescent="0.2">
      <c r="B27" s="824"/>
      <c r="C27" s="773"/>
      <c r="D27" s="701"/>
      <c r="E27" s="701"/>
      <c r="F27" s="643"/>
      <c r="G27" s="640">
        <v>0</v>
      </c>
      <c r="H27" s="170">
        <v>0</v>
      </c>
      <c r="I27" s="170">
        <v>0</v>
      </c>
      <c r="J27" s="465">
        <f t="shared" si="4"/>
        <v>0</v>
      </c>
      <c r="K27" s="423">
        <f t="shared" si="5"/>
        <v>0</v>
      </c>
      <c r="L27" s="997"/>
      <c r="M27" s="449"/>
      <c r="N27" s="453"/>
      <c r="O27" s="453"/>
      <c r="P27" s="448"/>
      <c r="Q27" s="448"/>
      <c r="R27" s="448"/>
      <c r="S27" s="451"/>
      <c r="T27" s="450"/>
      <c r="U27" s="450"/>
      <c r="V27" s="450"/>
      <c r="W27" s="450"/>
      <c r="X27" s="452"/>
      <c r="Z27" s="446"/>
      <c r="AA27" s="446"/>
      <c r="AB27" s="446"/>
      <c r="AC27" s="446"/>
      <c r="AD27" s="446"/>
      <c r="AE27" s="446"/>
      <c r="AF27" s="446"/>
      <c r="AG27" s="446"/>
      <c r="AH27" s="446"/>
      <c r="AI27" s="446"/>
      <c r="AJ27" s="446"/>
      <c r="AK27" s="446"/>
      <c r="AL27" s="446"/>
      <c r="AM27" s="446"/>
      <c r="AN27" s="446"/>
      <c r="AO27" s="446"/>
      <c r="AP27" s="446"/>
      <c r="AQ27" s="446"/>
      <c r="AR27" s="446"/>
      <c r="AS27" s="446"/>
      <c r="AT27" s="446"/>
      <c r="AU27" s="446"/>
      <c r="AV27" s="446"/>
      <c r="AW27" s="446"/>
      <c r="AX27" s="446"/>
      <c r="AY27" s="446"/>
      <c r="AZ27" s="446"/>
      <c r="BA27" s="446"/>
      <c r="BB27" s="446"/>
      <c r="BC27" s="446"/>
      <c r="BD27" s="446"/>
      <c r="BE27" s="446"/>
      <c r="BF27" s="446"/>
      <c r="BG27" s="446"/>
      <c r="BH27" s="446"/>
      <c r="BI27" s="446"/>
      <c r="BJ27" s="446"/>
      <c r="BK27" s="446"/>
      <c r="BL27" s="446"/>
      <c r="BM27" s="446"/>
      <c r="BN27" s="446"/>
      <c r="BO27" s="446"/>
      <c r="BP27" s="446"/>
      <c r="BQ27" s="446"/>
      <c r="BR27" s="446"/>
      <c r="BS27" s="446"/>
      <c r="BT27" s="446"/>
      <c r="BU27" s="446"/>
      <c r="BV27" s="446"/>
      <c r="BW27" s="446"/>
      <c r="BX27" s="446"/>
      <c r="BY27" s="446"/>
      <c r="BZ27" s="446"/>
      <c r="CA27" s="446"/>
      <c r="CB27" s="446"/>
      <c r="CC27" s="446"/>
      <c r="CD27" s="446"/>
      <c r="CE27" s="446"/>
      <c r="CF27" s="446"/>
      <c r="CG27" s="446"/>
      <c r="CH27" s="446"/>
      <c r="CI27" s="446"/>
      <c r="CJ27" s="446"/>
      <c r="CK27" s="446"/>
      <c r="CL27" s="446"/>
      <c r="CM27" s="446"/>
      <c r="CN27" s="446"/>
      <c r="CO27" s="446"/>
      <c r="CP27" s="446"/>
      <c r="CQ27" s="446"/>
      <c r="CR27" s="446"/>
      <c r="CS27" s="446"/>
      <c r="CT27" s="446"/>
      <c r="CU27" s="446"/>
      <c r="CV27" s="446"/>
      <c r="CW27" s="446"/>
      <c r="CX27" s="446"/>
      <c r="CY27" s="446"/>
      <c r="CZ27" s="446"/>
      <c r="DA27" s="446"/>
      <c r="DB27" s="446"/>
      <c r="DC27" s="446"/>
      <c r="DD27" s="446"/>
      <c r="DE27" s="446"/>
      <c r="DF27" s="446"/>
      <c r="DG27" s="446"/>
      <c r="DH27" s="446"/>
      <c r="DI27" s="446"/>
      <c r="DJ27" s="446"/>
      <c r="DK27" s="446"/>
      <c r="DL27" s="446"/>
      <c r="DM27" s="446"/>
      <c r="DN27" s="446"/>
      <c r="DO27" s="446"/>
      <c r="DP27" s="446"/>
      <c r="DQ27" s="446"/>
      <c r="DR27" s="446"/>
      <c r="DS27" s="446"/>
      <c r="DT27" s="446"/>
      <c r="DU27" s="446"/>
      <c r="DV27" s="446"/>
      <c r="DW27" s="446"/>
      <c r="DX27" s="446"/>
      <c r="DY27" s="446"/>
      <c r="DZ27" s="446"/>
      <c r="EA27" s="446"/>
      <c r="EB27" s="446"/>
      <c r="EC27" s="446"/>
      <c r="ED27" s="446"/>
      <c r="EE27" s="446"/>
      <c r="EF27" s="446"/>
      <c r="EG27" s="446"/>
      <c r="EH27" s="446"/>
      <c r="EI27" s="446"/>
      <c r="EJ27" s="446"/>
      <c r="EK27" s="446"/>
      <c r="EL27" s="446"/>
      <c r="EM27" s="446"/>
      <c r="EN27" s="446"/>
      <c r="EO27" s="446"/>
      <c r="EP27" s="446"/>
      <c r="EQ27" s="446"/>
      <c r="ER27" s="446"/>
      <c r="ES27" s="446"/>
      <c r="ET27" s="446"/>
      <c r="EU27" s="446"/>
      <c r="EV27" s="446"/>
      <c r="EW27" s="446"/>
      <c r="EX27" s="446"/>
      <c r="EY27" s="446"/>
      <c r="EZ27" s="446"/>
      <c r="FA27" s="446"/>
      <c r="FB27" s="446"/>
      <c r="FC27" s="446"/>
      <c r="FD27" s="446"/>
      <c r="FE27" s="446"/>
      <c r="FF27" s="446"/>
      <c r="FG27" s="446"/>
      <c r="FH27" s="446"/>
      <c r="FI27" s="446"/>
      <c r="FJ27" s="446"/>
      <c r="FK27" s="446"/>
      <c r="FL27" s="446"/>
      <c r="FM27" s="446"/>
      <c r="FN27" s="446"/>
      <c r="FO27" s="446"/>
      <c r="FP27" s="446"/>
      <c r="FQ27" s="446"/>
      <c r="FR27" s="446"/>
      <c r="FS27" s="446"/>
      <c r="FT27" s="446"/>
      <c r="FU27" s="446"/>
      <c r="FV27" s="446"/>
      <c r="FW27" s="446"/>
      <c r="FX27" s="446"/>
      <c r="FY27" s="446"/>
      <c r="FZ27" s="446"/>
      <c r="GA27" s="446"/>
      <c r="GB27" s="446"/>
      <c r="GC27" s="446"/>
      <c r="GD27" s="446"/>
      <c r="GE27" s="446"/>
      <c r="GF27" s="446"/>
      <c r="GG27" s="446"/>
      <c r="GH27" s="446"/>
      <c r="GI27" s="446"/>
      <c r="GJ27" s="446"/>
      <c r="GK27" s="446"/>
      <c r="GL27" s="446"/>
      <c r="GM27" s="446"/>
      <c r="GN27" s="446"/>
      <c r="GO27" s="446"/>
      <c r="GP27" s="446"/>
      <c r="GQ27" s="446"/>
      <c r="GR27" s="446"/>
      <c r="GS27" s="446"/>
      <c r="GT27" s="446"/>
      <c r="GU27" s="446"/>
      <c r="GV27" s="446"/>
      <c r="GW27" s="446"/>
      <c r="GX27" s="446"/>
      <c r="GY27" s="446"/>
      <c r="GZ27" s="446"/>
      <c r="HA27" s="446"/>
      <c r="HB27" s="446"/>
      <c r="HC27" s="446"/>
      <c r="HD27" s="446"/>
      <c r="HE27" s="446"/>
      <c r="HF27" s="446"/>
      <c r="HG27" s="446"/>
      <c r="HH27" s="446"/>
      <c r="HI27" s="446"/>
      <c r="HJ27" s="446"/>
      <c r="HK27" s="446"/>
      <c r="HL27" s="446"/>
      <c r="HM27" s="446"/>
      <c r="HN27" s="446"/>
      <c r="HO27" s="446"/>
      <c r="HP27" s="446"/>
      <c r="HQ27" s="446"/>
      <c r="HR27" s="446"/>
      <c r="HS27" s="446"/>
      <c r="HT27" s="446"/>
      <c r="HU27" s="446"/>
      <c r="HV27" s="446"/>
      <c r="HW27" s="446"/>
      <c r="HX27" s="446"/>
      <c r="HY27" s="446"/>
      <c r="HZ27" s="446"/>
      <c r="IA27" s="446"/>
      <c r="IB27" s="446"/>
      <c r="IC27" s="446"/>
      <c r="ID27" s="446"/>
      <c r="IE27" s="446"/>
      <c r="IF27" s="446"/>
      <c r="IG27" s="446"/>
      <c r="IH27" s="446"/>
      <c r="II27" s="446"/>
      <c r="IJ27" s="446"/>
      <c r="IK27" s="446"/>
      <c r="IL27" s="446"/>
      <c r="IM27" s="446"/>
      <c r="IN27" s="446"/>
      <c r="IO27" s="446"/>
      <c r="IP27" s="446"/>
      <c r="IQ27" s="446"/>
      <c r="IR27" s="446"/>
      <c r="IS27" s="446"/>
      <c r="IT27" s="446"/>
      <c r="IU27" s="446"/>
      <c r="IV27" s="446"/>
      <c r="IW27" s="446"/>
      <c r="IX27" s="446"/>
      <c r="IY27" s="446"/>
    </row>
    <row r="28" spans="2:259" s="445" customFormat="1" ht="12.75" customHeight="1" x14ac:dyDescent="0.2">
      <c r="B28" s="824"/>
      <c r="C28" s="651"/>
      <c r="D28" s="457"/>
      <c r="E28" s="457"/>
      <c r="F28" s="425"/>
      <c r="G28" s="640">
        <v>0</v>
      </c>
      <c r="H28" s="454">
        <v>0</v>
      </c>
      <c r="I28" s="454">
        <v>0</v>
      </c>
      <c r="J28" s="465">
        <f t="shared" si="4"/>
        <v>0</v>
      </c>
      <c r="K28" s="423">
        <f t="shared" si="5"/>
        <v>0</v>
      </c>
      <c r="L28" s="997"/>
      <c r="M28" s="449"/>
      <c r="N28" s="453"/>
      <c r="O28" s="453"/>
      <c r="P28" s="448"/>
      <c r="Q28" s="448"/>
      <c r="R28" s="448"/>
      <c r="S28" s="451"/>
      <c r="T28" s="450"/>
      <c r="U28" s="450"/>
      <c r="V28" s="450"/>
      <c r="W28" s="450"/>
      <c r="X28" s="452"/>
      <c r="Z28" s="446"/>
      <c r="AA28" s="446"/>
      <c r="AB28" s="446"/>
      <c r="AC28" s="446"/>
      <c r="AD28" s="446"/>
      <c r="AE28" s="446"/>
      <c r="AF28" s="446"/>
      <c r="AG28" s="446"/>
      <c r="AH28" s="446"/>
      <c r="AI28" s="446"/>
      <c r="AJ28" s="446"/>
      <c r="AK28" s="446"/>
      <c r="AL28" s="446"/>
      <c r="AM28" s="446"/>
      <c r="AN28" s="446"/>
      <c r="AO28" s="446"/>
      <c r="AP28" s="446"/>
      <c r="AQ28" s="446"/>
      <c r="AR28" s="446"/>
      <c r="AS28" s="446"/>
      <c r="AT28" s="446"/>
      <c r="AU28" s="446"/>
      <c r="AV28" s="446"/>
      <c r="AW28" s="446"/>
      <c r="AX28" s="446"/>
      <c r="AY28" s="446"/>
      <c r="AZ28" s="446"/>
      <c r="BA28" s="446"/>
      <c r="BB28" s="446"/>
      <c r="BC28" s="446"/>
      <c r="BD28" s="446"/>
      <c r="BE28" s="446"/>
      <c r="BF28" s="446"/>
      <c r="BG28" s="446"/>
      <c r="BH28" s="446"/>
      <c r="BI28" s="446"/>
      <c r="BJ28" s="446"/>
      <c r="BK28" s="446"/>
      <c r="BL28" s="446"/>
      <c r="BM28" s="446"/>
      <c r="BN28" s="446"/>
      <c r="BO28" s="446"/>
      <c r="BP28" s="446"/>
      <c r="BQ28" s="446"/>
      <c r="BR28" s="446"/>
      <c r="BS28" s="446"/>
      <c r="BT28" s="446"/>
      <c r="BU28" s="446"/>
      <c r="BV28" s="446"/>
      <c r="BW28" s="446"/>
      <c r="BX28" s="446"/>
      <c r="BY28" s="446"/>
      <c r="BZ28" s="446"/>
      <c r="CA28" s="446"/>
      <c r="CB28" s="446"/>
      <c r="CC28" s="446"/>
      <c r="CD28" s="446"/>
      <c r="CE28" s="446"/>
      <c r="CF28" s="446"/>
      <c r="CG28" s="446"/>
      <c r="CH28" s="446"/>
      <c r="CI28" s="446"/>
      <c r="CJ28" s="446"/>
      <c r="CK28" s="446"/>
      <c r="CL28" s="446"/>
      <c r="CM28" s="446"/>
      <c r="CN28" s="446"/>
      <c r="CO28" s="446"/>
      <c r="CP28" s="446"/>
      <c r="CQ28" s="446"/>
      <c r="CR28" s="446"/>
      <c r="CS28" s="446"/>
      <c r="CT28" s="446"/>
      <c r="CU28" s="446"/>
      <c r="CV28" s="446"/>
      <c r="CW28" s="446"/>
      <c r="CX28" s="446"/>
      <c r="CY28" s="446"/>
      <c r="CZ28" s="446"/>
      <c r="DA28" s="446"/>
      <c r="DB28" s="446"/>
      <c r="DC28" s="446"/>
      <c r="DD28" s="446"/>
      <c r="DE28" s="446"/>
      <c r="DF28" s="446"/>
      <c r="DG28" s="446"/>
      <c r="DH28" s="446"/>
      <c r="DI28" s="446"/>
      <c r="DJ28" s="446"/>
      <c r="DK28" s="446"/>
      <c r="DL28" s="446"/>
      <c r="DM28" s="446"/>
      <c r="DN28" s="446"/>
      <c r="DO28" s="446"/>
      <c r="DP28" s="446"/>
      <c r="DQ28" s="446"/>
      <c r="DR28" s="446"/>
      <c r="DS28" s="446"/>
      <c r="DT28" s="446"/>
      <c r="DU28" s="446"/>
      <c r="DV28" s="446"/>
      <c r="DW28" s="446"/>
      <c r="DX28" s="446"/>
      <c r="DY28" s="446"/>
      <c r="DZ28" s="446"/>
      <c r="EA28" s="446"/>
      <c r="EB28" s="446"/>
      <c r="EC28" s="446"/>
      <c r="ED28" s="446"/>
      <c r="EE28" s="446"/>
      <c r="EF28" s="446"/>
      <c r="EG28" s="446"/>
      <c r="EH28" s="446"/>
      <c r="EI28" s="446"/>
      <c r="EJ28" s="446"/>
      <c r="EK28" s="446"/>
      <c r="EL28" s="446"/>
      <c r="EM28" s="446"/>
      <c r="EN28" s="446"/>
      <c r="EO28" s="446"/>
      <c r="EP28" s="446"/>
      <c r="EQ28" s="446"/>
      <c r="ER28" s="446"/>
      <c r="ES28" s="446"/>
      <c r="ET28" s="446"/>
      <c r="EU28" s="446"/>
      <c r="EV28" s="446"/>
      <c r="EW28" s="446"/>
      <c r="EX28" s="446"/>
      <c r="EY28" s="446"/>
      <c r="EZ28" s="446"/>
      <c r="FA28" s="446"/>
      <c r="FB28" s="446"/>
      <c r="FC28" s="446"/>
      <c r="FD28" s="446"/>
      <c r="FE28" s="446"/>
      <c r="FF28" s="446"/>
      <c r="FG28" s="446"/>
      <c r="FH28" s="446"/>
      <c r="FI28" s="446"/>
      <c r="FJ28" s="446"/>
      <c r="FK28" s="446"/>
      <c r="FL28" s="446"/>
      <c r="FM28" s="446"/>
      <c r="FN28" s="446"/>
      <c r="FO28" s="446"/>
      <c r="FP28" s="446"/>
      <c r="FQ28" s="446"/>
      <c r="FR28" s="446"/>
      <c r="FS28" s="446"/>
      <c r="FT28" s="446"/>
      <c r="FU28" s="446"/>
      <c r="FV28" s="446"/>
      <c r="FW28" s="446"/>
      <c r="FX28" s="446"/>
      <c r="FY28" s="446"/>
      <c r="FZ28" s="446"/>
      <c r="GA28" s="446"/>
      <c r="GB28" s="446"/>
      <c r="GC28" s="446"/>
      <c r="GD28" s="446"/>
      <c r="GE28" s="446"/>
      <c r="GF28" s="446"/>
      <c r="GG28" s="446"/>
      <c r="GH28" s="446"/>
      <c r="GI28" s="446"/>
      <c r="GJ28" s="446"/>
      <c r="GK28" s="446"/>
      <c r="GL28" s="446"/>
      <c r="GM28" s="446"/>
      <c r="GN28" s="446"/>
      <c r="GO28" s="446"/>
      <c r="GP28" s="446"/>
      <c r="GQ28" s="446"/>
      <c r="GR28" s="446"/>
      <c r="GS28" s="446"/>
      <c r="GT28" s="446"/>
      <c r="GU28" s="446"/>
      <c r="GV28" s="446"/>
      <c r="GW28" s="446"/>
      <c r="GX28" s="446"/>
      <c r="GY28" s="446"/>
      <c r="GZ28" s="446"/>
      <c r="HA28" s="446"/>
      <c r="HB28" s="446"/>
      <c r="HC28" s="446"/>
      <c r="HD28" s="446"/>
      <c r="HE28" s="446"/>
      <c r="HF28" s="446"/>
      <c r="HG28" s="446"/>
      <c r="HH28" s="446"/>
      <c r="HI28" s="446"/>
      <c r="HJ28" s="446"/>
      <c r="HK28" s="446"/>
      <c r="HL28" s="446"/>
      <c r="HM28" s="446"/>
      <c r="HN28" s="446"/>
      <c r="HO28" s="446"/>
      <c r="HP28" s="446"/>
      <c r="HQ28" s="446"/>
      <c r="HR28" s="446"/>
      <c r="HS28" s="446"/>
      <c r="HT28" s="446"/>
      <c r="HU28" s="446"/>
      <c r="HV28" s="446"/>
      <c r="HW28" s="446"/>
      <c r="HX28" s="446"/>
      <c r="HY28" s="446"/>
      <c r="HZ28" s="446"/>
      <c r="IA28" s="446"/>
      <c r="IB28" s="446"/>
      <c r="IC28" s="446"/>
      <c r="ID28" s="446"/>
      <c r="IE28" s="446"/>
      <c r="IF28" s="446"/>
      <c r="IG28" s="446"/>
      <c r="IH28" s="446"/>
      <c r="II28" s="446"/>
      <c r="IJ28" s="446"/>
      <c r="IK28" s="446"/>
      <c r="IL28" s="446"/>
      <c r="IM28" s="446"/>
      <c r="IN28" s="446"/>
      <c r="IO28" s="446"/>
      <c r="IP28" s="446"/>
      <c r="IQ28" s="446"/>
      <c r="IR28" s="446"/>
      <c r="IS28" s="446"/>
      <c r="IT28" s="446"/>
      <c r="IU28" s="446"/>
      <c r="IV28" s="446"/>
      <c r="IW28" s="446"/>
      <c r="IX28" s="446"/>
      <c r="IY28" s="446"/>
    </row>
    <row r="29" spans="2:259" s="445" customFormat="1" ht="12.75" customHeight="1" x14ac:dyDescent="0.2">
      <c r="B29" s="824"/>
      <c r="C29" s="700"/>
      <c r="D29" s="701"/>
      <c r="E29" s="701"/>
      <c r="F29" s="425"/>
      <c r="G29" s="640">
        <v>0</v>
      </c>
      <c r="H29" s="170">
        <v>0</v>
      </c>
      <c r="I29" s="170">
        <v>0</v>
      </c>
      <c r="J29" s="465">
        <f t="shared" si="4"/>
        <v>0</v>
      </c>
      <c r="K29" s="423">
        <f t="shared" si="5"/>
        <v>0</v>
      </c>
      <c r="L29" s="997"/>
      <c r="M29" s="449"/>
      <c r="N29" s="453"/>
      <c r="O29" s="453"/>
      <c r="P29" s="448"/>
      <c r="Q29" s="448"/>
      <c r="R29" s="448"/>
      <c r="S29" s="451"/>
      <c r="T29" s="450"/>
      <c r="U29" s="450"/>
      <c r="V29" s="450"/>
      <c r="W29" s="450"/>
      <c r="X29" s="452"/>
      <c r="Z29" s="446"/>
      <c r="AA29" s="446"/>
      <c r="AB29" s="446"/>
      <c r="AC29" s="446"/>
      <c r="AD29" s="446"/>
      <c r="AE29" s="446"/>
      <c r="AF29" s="446"/>
      <c r="AG29" s="446"/>
      <c r="AH29" s="446"/>
      <c r="AI29" s="446"/>
      <c r="AJ29" s="446"/>
      <c r="AK29" s="446"/>
      <c r="AL29" s="446"/>
      <c r="AM29" s="446"/>
      <c r="AN29" s="446"/>
      <c r="AO29" s="446"/>
      <c r="AP29" s="446"/>
      <c r="AQ29" s="446"/>
      <c r="AR29" s="446"/>
      <c r="AS29" s="446"/>
      <c r="AT29" s="446"/>
      <c r="AU29" s="446"/>
      <c r="AV29" s="446"/>
      <c r="AW29" s="446"/>
      <c r="AX29" s="446"/>
      <c r="AY29" s="446"/>
      <c r="AZ29" s="446"/>
      <c r="BA29" s="446"/>
      <c r="BB29" s="446"/>
      <c r="BC29" s="446"/>
      <c r="BD29" s="446"/>
      <c r="BE29" s="446"/>
      <c r="BF29" s="446"/>
      <c r="BG29" s="446"/>
      <c r="BH29" s="446"/>
      <c r="BI29" s="446"/>
      <c r="BJ29" s="446"/>
      <c r="BK29" s="446"/>
      <c r="BL29" s="446"/>
      <c r="BM29" s="446"/>
      <c r="BN29" s="446"/>
      <c r="BO29" s="446"/>
      <c r="BP29" s="446"/>
      <c r="BQ29" s="446"/>
      <c r="BR29" s="446"/>
      <c r="BS29" s="446"/>
      <c r="BT29" s="446"/>
      <c r="BU29" s="446"/>
      <c r="BV29" s="446"/>
      <c r="BW29" s="446"/>
      <c r="BX29" s="446"/>
      <c r="BY29" s="446"/>
      <c r="BZ29" s="446"/>
      <c r="CA29" s="446"/>
      <c r="CB29" s="446"/>
      <c r="CC29" s="446"/>
      <c r="CD29" s="446"/>
      <c r="CE29" s="446"/>
      <c r="CF29" s="446"/>
      <c r="CG29" s="446"/>
      <c r="CH29" s="446"/>
      <c r="CI29" s="446"/>
      <c r="CJ29" s="446"/>
      <c r="CK29" s="446"/>
      <c r="CL29" s="446"/>
      <c r="CM29" s="446"/>
      <c r="CN29" s="446"/>
      <c r="CO29" s="446"/>
      <c r="CP29" s="446"/>
      <c r="CQ29" s="446"/>
      <c r="CR29" s="446"/>
      <c r="CS29" s="446"/>
      <c r="CT29" s="446"/>
      <c r="CU29" s="446"/>
      <c r="CV29" s="446"/>
      <c r="CW29" s="446"/>
      <c r="CX29" s="446"/>
      <c r="CY29" s="446"/>
      <c r="CZ29" s="446"/>
      <c r="DA29" s="446"/>
      <c r="DB29" s="446"/>
      <c r="DC29" s="446"/>
      <c r="DD29" s="446"/>
      <c r="DE29" s="446"/>
      <c r="DF29" s="446"/>
      <c r="DG29" s="446"/>
      <c r="DH29" s="446"/>
      <c r="DI29" s="446"/>
      <c r="DJ29" s="446"/>
      <c r="DK29" s="446"/>
      <c r="DL29" s="446"/>
      <c r="DM29" s="446"/>
      <c r="DN29" s="446"/>
      <c r="DO29" s="446"/>
      <c r="DP29" s="446"/>
      <c r="DQ29" s="446"/>
      <c r="DR29" s="446"/>
      <c r="DS29" s="446"/>
      <c r="DT29" s="446"/>
      <c r="DU29" s="446"/>
      <c r="DV29" s="446"/>
      <c r="DW29" s="446"/>
      <c r="DX29" s="446"/>
      <c r="DY29" s="446"/>
      <c r="DZ29" s="446"/>
      <c r="EA29" s="446"/>
      <c r="EB29" s="446"/>
      <c r="EC29" s="446"/>
      <c r="ED29" s="446"/>
      <c r="EE29" s="446"/>
      <c r="EF29" s="446"/>
      <c r="EG29" s="446"/>
      <c r="EH29" s="446"/>
      <c r="EI29" s="446"/>
      <c r="EJ29" s="446"/>
      <c r="EK29" s="446"/>
      <c r="EL29" s="446"/>
      <c r="EM29" s="446"/>
      <c r="EN29" s="446"/>
      <c r="EO29" s="446"/>
      <c r="EP29" s="446"/>
      <c r="EQ29" s="446"/>
      <c r="ER29" s="446"/>
      <c r="ES29" s="446"/>
      <c r="ET29" s="446"/>
      <c r="EU29" s="446"/>
      <c r="EV29" s="446"/>
      <c r="EW29" s="446"/>
      <c r="EX29" s="446"/>
      <c r="EY29" s="446"/>
      <c r="EZ29" s="446"/>
      <c r="FA29" s="446"/>
      <c r="FB29" s="446"/>
      <c r="FC29" s="446"/>
      <c r="FD29" s="446"/>
      <c r="FE29" s="446"/>
      <c r="FF29" s="446"/>
      <c r="FG29" s="446"/>
      <c r="FH29" s="446"/>
      <c r="FI29" s="446"/>
      <c r="FJ29" s="446"/>
      <c r="FK29" s="446"/>
      <c r="FL29" s="446"/>
      <c r="FM29" s="446"/>
      <c r="FN29" s="446"/>
      <c r="FO29" s="446"/>
      <c r="FP29" s="446"/>
      <c r="FQ29" s="446"/>
      <c r="FR29" s="446"/>
      <c r="FS29" s="446"/>
      <c r="FT29" s="446"/>
      <c r="FU29" s="446"/>
      <c r="FV29" s="446"/>
      <c r="FW29" s="446"/>
      <c r="FX29" s="446"/>
      <c r="FY29" s="446"/>
      <c r="FZ29" s="446"/>
      <c r="GA29" s="446"/>
      <c r="GB29" s="446"/>
      <c r="GC29" s="446"/>
      <c r="GD29" s="446"/>
      <c r="GE29" s="446"/>
      <c r="GF29" s="446"/>
      <c r="GG29" s="446"/>
      <c r="GH29" s="446"/>
      <c r="GI29" s="446"/>
      <c r="GJ29" s="446"/>
      <c r="GK29" s="446"/>
      <c r="GL29" s="446"/>
      <c r="GM29" s="446"/>
      <c r="GN29" s="446"/>
      <c r="GO29" s="446"/>
      <c r="GP29" s="446"/>
      <c r="GQ29" s="446"/>
      <c r="GR29" s="446"/>
      <c r="GS29" s="446"/>
      <c r="GT29" s="446"/>
      <c r="GU29" s="446"/>
      <c r="GV29" s="446"/>
      <c r="GW29" s="446"/>
      <c r="GX29" s="446"/>
      <c r="GY29" s="446"/>
      <c r="GZ29" s="446"/>
      <c r="HA29" s="446"/>
      <c r="HB29" s="446"/>
      <c r="HC29" s="446"/>
      <c r="HD29" s="446"/>
      <c r="HE29" s="446"/>
      <c r="HF29" s="446"/>
      <c r="HG29" s="446"/>
      <c r="HH29" s="446"/>
      <c r="HI29" s="446"/>
      <c r="HJ29" s="446"/>
      <c r="HK29" s="446"/>
      <c r="HL29" s="446"/>
      <c r="HM29" s="446"/>
      <c r="HN29" s="446"/>
      <c r="HO29" s="446"/>
      <c r="HP29" s="446"/>
      <c r="HQ29" s="446"/>
      <c r="HR29" s="446"/>
      <c r="HS29" s="446"/>
      <c r="HT29" s="446"/>
      <c r="HU29" s="446"/>
      <c r="HV29" s="446"/>
      <c r="HW29" s="446"/>
      <c r="HX29" s="446"/>
      <c r="HY29" s="446"/>
      <c r="HZ29" s="446"/>
      <c r="IA29" s="446"/>
      <c r="IB29" s="446"/>
      <c r="IC29" s="446"/>
      <c r="ID29" s="446"/>
      <c r="IE29" s="446"/>
      <c r="IF29" s="446"/>
      <c r="IG29" s="446"/>
      <c r="IH29" s="446"/>
      <c r="II29" s="446"/>
      <c r="IJ29" s="446"/>
      <c r="IK29" s="446"/>
      <c r="IL29" s="446"/>
      <c r="IM29" s="446"/>
      <c r="IN29" s="446"/>
      <c r="IO29" s="446"/>
      <c r="IP29" s="446"/>
      <c r="IQ29" s="446"/>
      <c r="IR29" s="446"/>
      <c r="IS29" s="446"/>
      <c r="IT29" s="446"/>
      <c r="IU29" s="446"/>
      <c r="IV29" s="446"/>
      <c r="IW29" s="446"/>
      <c r="IX29" s="446"/>
      <c r="IY29" s="446"/>
    </row>
    <row r="30" spans="2:259" s="445" customFormat="1" ht="13.5" customHeight="1" thickBot="1" x14ac:dyDescent="0.25">
      <c r="B30" s="825"/>
      <c r="C30" s="657"/>
      <c r="D30" s="455"/>
      <c r="E30" s="455"/>
      <c r="F30" s="426"/>
      <c r="G30" s="641">
        <v>0</v>
      </c>
      <c r="H30" s="456">
        <v>0</v>
      </c>
      <c r="I30" s="456">
        <v>0</v>
      </c>
      <c r="J30" s="466">
        <f>SUM(G30:I30)</f>
        <v>0</v>
      </c>
      <c r="K30" s="467">
        <f>+J30*(1+$L$7)</f>
        <v>0</v>
      </c>
      <c r="L30" s="998"/>
      <c r="M30" s="449"/>
      <c r="N30" s="453"/>
      <c r="O30" s="453"/>
      <c r="P30" s="448"/>
      <c r="Q30" s="448"/>
      <c r="R30" s="448"/>
      <c r="S30" s="451"/>
      <c r="T30" s="450"/>
      <c r="U30" s="450"/>
      <c r="V30" s="450"/>
      <c r="W30" s="450"/>
      <c r="X30" s="452"/>
      <c r="Z30" s="446"/>
      <c r="AA30" s="446"/>
      <c r="AB30" s="446"/>
      <c r="AC30" s="446"/>
      <c r="AD30" s="446"/>
      <c r="AE30" s="446"/>
      <c r="AF30" s="446"/>
      <c r="AG30" s="446"/>
      <c r="AH30" s="446"/>
      <c r="AI30" s="446"/>
      <c r="AJ30" s="446"/>
      <c r="AK30" s="446"/>
      <c r="AL30" s="446"/>
      <c r="AM30" s="446"/>
      <c r="AN30" s="446"/>
      <c r="AO30" s="446"/>
      <c r="AP30" s="446"/>
      <c r="AQ30" s="446"/>
      <c r="AR30" s="446"/>
      <c r="AS30" s="446"/>
      <c r="AT30" s="446"/>
      <c r="AU30" s="446"/>
      <c r="AV30" s="446"/>
      <c r="AW30" s="446"/>
      <c r="AX30" s="446"/>
      <c r="AY30" s="446"/>
      <c r="AZ30" s="446"/>
      <c r="BA30" s="446"/>
      <c r="BB30" s="446"/>
      <c r="BC30" s="446"/>
      <c r="BD30" s="446"/>
      <c r="BE30" s="446"/>
      <c r="BF30" s="446"/>
      <c r="BG30" s="446"/>
      <c r="BH30" s="446"/>
      <c r="BI30" s="446"/>
      <c r="BJ30" s="446"/>
      <c r="BK30" s="446"/>
      <c r="BL30" s="446"/>
      <c r="BM30" s="446"/>
      <c r="BN30" s="446"/>
      <c r="BO30" s="446"/>
      <c r="BP30" s="446"/>
      <c r="BQ30" s="446"/>
      <c r="BR30" s="446"/>
      <c r="BS30" s="446"/>
      <c r="BT30" s="446"/>
      <c r="BU30" s="446"/>
      <c r="BV30" s="446"/>
      <c r="BW30" s="446"/>
      <c r="BX30" s="446"/>
      <c r="BY30" s="446"/>
      <c r="BZ30" s="446"/>
      <c r="CA30" s="446"/>
      <c r="CB30" s="446"/>
      <c r="CC30" s="446"/>
      <c r="CD30" s="446"/>
      <c r="CE30" s="446"/>
      <c r="CF30" s="446"/>
      <c r="CG30" s="446"/>
      <c r="CH30" s="446"/>
      <c r="CI30" s="446"/>
      <c r="CJ30" s="446"/>
      <c r="CK30" s="446"/>
      <c r="CL30" s="446"/>
      <c r="CM30" s="446"/>
      <c r="CN30" s="446"/>
      <c r="CO30" s="446"/>
      <c r="CP30" s="446"/>
      <c r="CQ30" s="446"/>
      <c r="CR30" s="446"/>
      <c r="CS30" s="446"/>
      <c r="CT30" s="446"/>
      <c r="CU30" s="446"/>
      <c r="CV30" s="446"/>
      <c r="CW30" s="446"/>
      <c r="CX30" s="446"/>
      <c r="CY30" s="446"/>
      <c r="CZ30" s="446"/>
      <c r="DA30" s="446"/>
      <c r="DB30" s="446"/>
      <c r="DC30" s="446"/>
      <c r="DD30" s="446"/>
      <c r="DE30" s="446"/>
      <c r="DF30" s="446"/>
      <c r="DG30" s="446"/>
      <c r="DH30" s="446"/>
      <c r="DI30" s="446"/>
      <c r="DJ30" s="446"/>
      <c r="DK30" s="446"/>
      <c r="DL30" s="446"/>
      <c r="DM30" s="446"/>
      <c r="DN30" s="446"/>
      <c r="DO30" s="446"/>
      <c r="DP30" s="446"/>
      <c r="DQ30" s="446"/>
      <c r="DR30" s="446"/>
      <c r="DS30" s="446"/>
      <c r="DT30" s="446"/>
      <c r="DU30" s="446"/>
      <c r="DV30" s="446"/>
      <c r="DW30" s="446"/>
      <c r="DX30" s="446"/>
      <c r="DY30" s="446"/>
      <c r="DZ30" s="446"/>
      <c r="EA30" s="446"/>
      <c r="EB30" s="446"/>
      <c r="EC30" s="446"/>
      <c r="ED30" s="446"/>
      <c r="EE30" s="446"/>
      <c r="EF30" s="446"/>
      <c r="EG30" s="446"/>
      <c r="EH30" s="446"/>
      <c r="EI30" s="446"/>
      <c r="EJ30" s="446"/>
      <c r="EK30" s="446"/>
      <c r="EL30" s="446"/>
      <c r="EM30" s="446"/>
      <c r="EN30" s="446"/>
      <c r="EO30" s="446"/>
      <c r="EP30" s="446"/>
      <c r="EQ30" s="446"/>
      <c r="ER30" s="446"/>
      <c r="ES30" s="446"/>
      <c r="ET30" s="446"/>
      <c r="EU30" s="446"/>
      <c r="EV30" s="446"/>
      <c r="EW30" s="446"/>
      <c r="EX30" s="446"/>
      <c r="EY30" s="446"/>
      <c r="EZ30" s="446"/>
      <c r="FA30" s="446"/>
      <c r="FB30" s="446"/>
      <c r="FC30" s="446"/>
      <c r="FD30" s="446"/>
      <c r="FE30" s="446"/>
      <c r="FF30" s="446"/>
      <c r="FG30" s="446"/>
      <c r="FH30" s="446"/>
      <c r="FI30" s="446"/>
      <c r="FJ30" s="446"/>
      <c r="FK30" s="446"/>
      <c r="FL30" s="446"/>
      <c r="FM30" s="446"/>
      <c r="FN30" s="446"/>
      <c r="FO30" s="446"/>
      <c r="FP30" s="446"/>
      <c r="FQ30" s="446"/>
      <c r="FR30" s="446"/>
      <c r="FS30" s="446"/>
      <c r="FT30" s="446"/>
      <c r="FU30" s="446"/>
      <c r="FV30" s="446"/>
      <c r="FW30" s="446"/>
      <c r="FX30" s="446"/>
      <c r="FY30" s="446"/>
      <c r="FZ30" s="446"/>
      <c r="GA30" s="446"/>
      <c r="GB30" s="446"/>
      <c r="GC30" s="446"/>
      <c r="GD30" s="446"/>
      <c r="GE30" s="446"/>
      <c r="GF30" s="446"/>
      <c r="GG30" s="446"/>
      <c r="GH30" s="446"/>
      <c r="GI30" s="446"/>
      <c r="GJ30" s="446"/>
      <c r="GK30" s="446"/>
      <c r="GL30" s="446"/>
      <c r="GM30" s="446"/>
      <c r="GN30" s="446"/>
      <c r="GO30" s="446"/>
      <c r="GP30" s="446"/>
      <c r="GQ30" s="446"/>
      <c r="GR30" s="446"/>
      <c r="GS30" s="446"/>
      <c r="GT30" s="446"/>
      <c r="GU30" s="446"/>
      <c r="GV30" s="446"/>
      <c r="GW30" s="446"/>
      <c r="GX30" s="446"/>
      <c r="GY30" s="446"/>
      <c r="GZ30" s="446"/>
      <c r="HA30" s="446"/>
      <c r="HB30" s="446"/>
      <c r="HC30" s="446"/>
      <c r="HD30" s="446"/>
      <c r="HE30" s="446"/>
      <c r="HF30" s="446"/>
      <c r="HG30" s="446"/>
      <c r="HH30" s="446"/>
      <c r="HI30" s="446"/>
      <c r="HJ30" s="446"/>
      <c r="HK30" s="446"/>
      <c r="HL30" s="446"/>
      <c r="HM30" s="446"/>
      <c r="HN30" s="446"/>
      <c r="HO30" s="446"/>
      <c r="HP30" s="446"/>
      <c r="HQ30" s="446"/>
      <c r="HR30" s="446"/>
      <c r="HS30" s="446"/>
      <c r="HT30" s="446"/>
      <c r="HU30" s="446"/>
      <c r="HV30" s="446"/>
      <c r="HW30" s="446"/>
      <c r="HX30" s="446"/>
      <c r="HY30" s="446"/>
      <c r="HZ30" s="446"/>
      <c r="IA30" s="446"/>
      <c r="IB30" s="446"/>
      <c r="IC30" s="446"/>
      <c r="ID30" s="446"/>
      <c r="IE30" s="446"/>
      <c r="IF30" s="446"/>
      <c r="IG30" s="446"/>
      <c r="IH30" s="446"/>
      <c r="II30" s="446"/>
      <c r="IJ30" s="446"/>
      <c r="IK30" s="446"/>
      <c r="IL30" s="446"/>
      <c r="IM30" s="446"/>
      <c r="IN30" s="446"/>
      <c r="IO30" s="446"/>
      <c r="IP30" s="446"/>
      <c r="IQ30" s="446"/>
      <c r="IR30" s="446"/>
      <c r="IS30" s="446"/>
      <c r="IT30" s="446"/>
      <c r="IU30" s="446"/>
      <c r="IV30" s="446"/>
      <c r="IW30" s="446"/>
      <c r="IX30" s="446"/>
      <c r="IY30" s="446"/>
    </row>
    <row r="31" spans="2:259" s="2" customFormat="1" ht="12.75" customHeight="1" x14ac:dyDescent="0.2">
      <c r="B31" s="989" t="s">
        <v>237</v>
      </c>
      <c r="C31" s="666" t="s">
        <v>132</v>
      </c>
      <c r="D31" s="667" t="s">
        <v>132</v>
      </c>
      <c r="E31" s="667" t="s">
        <v>137</v>
      </c>
      <c r="F31" s="668" t="s">
        <v>228</v>
      </c>
      <c r="G31" s="669">
        <v>0</v>
      </c>
      <c r="H31" s="670">
        <v>0</v>
      </c>
      <c r="I31" s="670">
        <v>0</v>
      </c>
      <c r="J31" s="671">
        <f>SUM(G31:I31)</f>
        <v>0</v>
      </c>
      <c r="K31" s="672">
        <f>+J31*(1+$L$7)</f>
        <v>0</v>
      </c>
      <c r="L31" s="992">
        <f>SUM(K31:K36)</f>
        <v>0</v>
      </c>
      <c r="M31" s="29"/>
      <c r="N31" s="33"/>
      <c r="O31" s="33"/>
      <c r="P31" s="20"/>
      <c r="Q31" s="20"/>
      <c r="R31" s="20"/>
      <c r="S31" s="31"/>
      <c r="T31" s="30"/>
      <c r="U31" s="30"/>
      <c r="V31" s="30"/>
      <c r="W31" s="30"/>
      <c r="X31" s="32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</row>
    <row r="32" spans="2:259" s="2" customFormat="1" ht="12.75" customHeight="1" x14ac:dyDescent="0.2">
      <c r="B32" s="990"/>
      <c r="C32" s="673" t="s">
        <v>132</v>
      </c>
      <c r="D32" s="674" t="s">
        <v>132</v>
      </c>
      <c r="E32" s="674" t="s">
        <v>138</v>
      </c>
      <c r="F32" s="675" t="s">
        <v>228</v>
      </c>
      <c r="G32" s="676">
        <v>0</v>
      </c>
      <c r="H32" s="677">
        <v>0</v>
      </c>
      <c r="I32" s="677">
        <v>0</v>
      </c>
      <c r="J32" s="678">
        <f>SUM(G32:I32)</f>
        <v>0</v>
      </c>
      <c r="K32" s="679">
        <f>+J32*(1+$L$7)</f>
        <v>0</v>
      </c>
      <c r="L32" s="993"/>
      <c r="M32" s="29"/>
      <c r="N32" s="33"/>
      <c r="O32" s="33"/>
      <c r="P32" s="20"/>
      <c r="Q32" s="20"/>
      <c r="R32" s="20"/>
      <c r="S32" s="31"/>
      <c r="T32" s="30"/>
      <c r="U32" s="30"/>
      <c r="V32" s="30"/>
      <c r="W32" s="30"/>
      <c r="X32" s="32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</row>
    <row r="33" spans="2:259" s="2" customFormat="1" ht="12.75" customHeight="1" x14ac:dyDescent="0.2">
      <c r="B33" s="990"/>
      <c r="C33" s="673" t="s">
        <v>132</v>
      </c>
      <c r="D33" s="674" t="s">
        <v>132</v>
      </c>
      <c r="E33" s="674" t="s">
        <v>138</v>
      </c>
      <c r="F33" s="675" t="s">
        <v>228</v>
      </c>
      <c r="G33" s="676">
        <v>0</v>
      </c>
      <c r="H33" s="677">
        <v>0</v>
      </c>
      <c r="I33" s="677">
        <v>0</v>
      </c>
      <c r="J33" s="678">
        <f>SUM(G33:I33)</f>
        <v>0</v>
      </c>
      <c r="K33" s="679">
        <f>+J33*(1+$L$7)</f>
        <v>0</v>
      </c>
      <c r="L33" s="993"/>
      <c r="M33" s="29"/>
      <c r="N33" s="33"/>
      <c r="O33" s="33"/>
      <c r="P33" s="20"/>
      <c r="Q33" s="20"/>
      <c r="R33" s="20"/>
      <c r="S33" s="31"/>
      <c r="T33" s="30"/>
      <c r="U33" s="30"/>
      <c r="V33" s="30"/>
      <c r="W33" s="30"/>
      <c r="X33" s="32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</row>
    <row r="34" spans="2:259" s="2" customFormat="1" ht="12.75" customHeight="1" x14ac:dyDescent="0.2">
      <c r="B34" s="990"/>
      <c r="C34" s="673"/>
      <c r="D34" s="674"/>
      <c r="E34" s="674"/>
      <c r="F34" s="675"/>
      <c r="G34" s="676"/>
      <c r="H34" s="677"/>
      <c r="I34" s="677"/>
      <c r="J34" s="678"/>
      <c r="K34" s="679"/>
      <c r="L34" s="993"/>
      <c r="M34" s="29"/>
      <c r="N34" s="33"/>
      <c r="O34" s="33"/>
      <c r="P34" s="20"/>
      <c r="Q34" s="20"/>
      <c r="R34" s="20"/>
      <c r="S34" s="31"/>
      <c r="T34" s="30"/>
      <c r="U34" s="30"/>
      <c r="V34" s="30"/>
      <c r="W34" s="30"/>
      <c r="X34" s="32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</row>
    <row r="35" spans="2:259" s="2" customFormat="1" ht="12.75" customHeight="1" x14ac:dyDescent="0.2">
      <c r="B35" s="990"/>
      <c r="C35" s="673"/>
      <c r="D35" s="674"/>
      <c r="E35" s="674"/>
      <c r="F35" s="675"/>
      <c r="G35" s="676"/>
      <c r="H35" s="677"/>
      <c r="I35" s="677"/>
      <c r="J35" s="678"/>
      <c r="K35" s="679"/>
      <c r="L35" s="993"/>
      <c r="M35" s="29"/>
      <c r="N35" s="33"/>
      <c r="O35" s="33"/>
      <c r="P35" s="20"/>
      <c r="Q35" s="20"/>
      <c r="R35" s="20"/>
      <c r="S35" s="31"/>
      <c r="T35" s="30"/>
      <c r="U35" s="30"/>
      <c r="V35" s="30"/>
      <c r="W35" s="30"/>
      <c r="X35" s="32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</row>
    <row r="36" spans="2:259" s="2" customFormat="1" ht="12.75" customHeight="1" thickBot="1" x14ac:dyDescent="0.25">
      <c r="B36" s="991"/>
      <c r="C36" s="680"/>
      <c r="D36" s="681"/>
      <c r="E36" s="681"/>
      <c r="F36" s="682"/>
      <c r="G36" s="683"/>
      <c r="H36" s="684"/>
      <c r="I36" s="684"/>
      <c r="J36" s="685"/>
      <c r="K36" s="686"/>
      <c r="L36" s="994"/>
      <c r="M36" s="29"/>
      <c r="N36" s="33"/>
      <c r="O36" s="33"/>
      <c r="P36" s="20"/>
      <c r="Q36" s="20"/>
      <c r="R36" s="20"/>
      <c r="S36" s="31"/>
      <c r="T36" s="30"/>
      <c r="U36" s="30"/>
      <c r="V36" s="30"/>
      <c r="W36" s="30"/>
      <c r="X36" s="32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</row>
    <row r="37" spans="2:259" ht="12.75" customHeight="1" thickBot="1" x14ac:dyDescent="0.25">
      <c r="B37" s="26"/>
      <c r="C37" s="42"/>
      <c r="D37" s="42"/>
      <c r="E37" s="43"/>
      <c r="F37" s="43"/>
      <c r="G37" s="43"/>
      <c r="H37" s="43"/>
      <c r="I37" s="43"/>
      <c r="J37" s="37"/>
      <c r="K37" s="223" t="s">
        <v>94</v>
      </c>
      <c r="L37" s="224">
        <f>SUM(L11:L36)</f>
        <v>27490397.953736</v>
      </c>
      <c r="M37" s="27"/>
      <c r="N37" s="27"/>
      <c r="O37" s="27"/>
      <c r="P37" s="33"/>
      <c r="Q37" s="33"/>
      <c r="R37" s="33"/>
      <c r="S37" s="34"/>
      <c r="T37" s="34"/>
      <c r="U37" s="35"/>
      <c r="V37" s="35"/>
      <c r="W37" s="36"/>
      <c r="X37" s="36"/>
    </row>
    <row r="38" spans="2:259" ht="12.75" customHeight="1" x14ac:dyDescent="0.2">
      <c r="B38" s="26"/>
      <c r="C38" s="42"/>
      <c r="D38" s="42"/>
      <c r="E38" s="43"/>
      <c r="F38" s="43"/>
      <c r="G38" s="43"/>
      <c r="H38" s="43"/>
      <c r="I38" s="43"/>
      <c r="J38" s="37"/>
      <c r="K38" s="37"/>
      <c r="L38" s="37"/>
      <c r="M38" s="27"/>
      <c r="N38" s="27"/>
      <c r="O38" s="27"/>
      <c r="P38" s="33"/>
      <c r="Q38" s="33"/>
      <c r="R38" s="33"/>
      <c r="S38" s="34"/>
      <c r="T38" s="34"/>
      <c r="U38" s="35"/>
      <c r="V38" s="35"/>
      <c r="W38" s="36"/>
      <c r="X38" s="36"/>
    </row>
    <row r="39" spans="2:259" ht="12.75" customHeight="1" x14ac:dyDescent="0.2">
      <c r="B39" s="26"/>
      <c r="C39" s="26"/>
      <c r="D39" s="26"/>
      <c r="E39" s="26"/>
      <c r="F39" s="26"/>
      <c r="G39" s="26"/>
      <c r="H39" s="26"/>
      <c r="I39" s="26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5"/>
      <c r="V39" s="35"/>
      <c r="W39" s="36"/>
      <c r="X39" s="36"/>
    </row>
    <row r="40" spans="2:259" ht="12.75" customHeight="1" x14ac:dyDescent="0.2">
      <c r="B40" s="26"/>
      <c r="C40" s="26"/>
      <c r="D40" s="26"/>
      <c r="E40" s="26"/>
      <c r="F40" s="26"/>
      <c r="G40" s="26"/>
      <c r="H40" s="26"/>
      <c r="I40" s="26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5"/>
      <c r="V40" s="35"/>
      <c r="W40" s="36"/>
      <c r="X40" s="36"/>
    </row>
    <row r="41" spans="2:259" x14ac:dyDescent="0.2">
      <c r="B41" s="26"/>
      <c r="C41" s="26"/>
      <c r="D41" s="26"/>
      <c r="E41" s="26"/>
      <c r="F41" s="26"/>
      <c r="G41" s="26"/>
      <c r="H41" s="26"/>
      <c r="I41" s="26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5"/>
      <c r="V41" s="35"/>
      <c r="W41" s="36"/>
      <c r="X41" s="36"/>
    </row>
    <row r="42" spans="2:259" x14ac:dyDescent="0.2">
      <c r="B42" s="26"/>
      <c r="C42" s="26"/>
      <c r="D42" s="26"/>
      <c r="E42" s="26"/>
      <c r="F42" s="26"/>
      <c r="G42" s="26"/>
      <c r="H42" s="26"/>
      <c r="I42" s="26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5"/>
      <c r="V42" s="35"/>
      <c r="W42" s="36"/>
      <c r="X42" s="36"/>
    </row>
    <row r="43" spans="2:259" x14ac:dyDescent="0.2">
      <c r="B43" s="26"/>
      <c r="C43" s="26"/>
      <c r="D43" s="26"/>
      <c r="E43" s="26"/>
      <c r="F43" s="26"/>
      <c r="G43" s="26"/>
      <c r="H43" s="26"/>
      <c r="I43" s="26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5"/>
      <c r="V43" s="35"/>
      <c r="W43" s="36"/>
      <c r="X43" s="36"/>
    </row>
    <row r="44" spans="2:259" x14ac:dyDescent="0.2">
      <c r="B44" s="26"/>
      <c r="C44" s="26"/>
      <c r="D44" s="26"/>
      <c r="E44" s="26"/>
      <c r="F44" s="26"/>
      <c r="G44" s="26"/>
      <c r="H44" s="26"/>
      <c r="I44" s="26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5"/>
      <c r="V44" s="35"/>
      <c r="W44" s="36"/>
      <c r="X44" s="36"/>
    </row>
  </sheetData>
  <sheetProtection sheet="1" objects="1" scenarios="1"/>
  <mergeCells count="16">
    <mergeCell ref="T10:W10"/>
    <mergeCell ref="B11:B22"/>
    <mergeCell ref="L11:L22"/>
    <mergeCell ref="F9:F10"/>
    <mergeCell ref="B7:E7"/>
    <mergeCell ref="B9:B10"/>
    <mergeCell ref="C9:C10"/>
    <mergeCell ref="D9:D10"/>
    <mergeCell ref="E9:E10"/>
    <mergeCell ref="B31:B36"/>
    <mergeCell ref="L31:L36"/>
    <mergeCell ref="B23:B30"/>
    <mergeCell ref="L23:L30"/>
    <mergeCell ref="G9:J9"/>
    <mergeCell ref="K9:K10"/>
    <mergeCell ref="L9:L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21"/>
  <sheetViews>
    <sheetView showGridLines="0" topLeftCell="H5" workbookViewId="0">
      <selection activeCell="M26" sqref="M26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1"/>
      <c r="C1" s="41"/>
      <c r="D1" s="41" t="s">
        <v>210</v>
      </c>
      <c r="E1" s="41"/>
      <c r="F1" s="41"/>
      <c r="G1" s="41"/>
      <c r="H1" s="41"/>
      <c r="I1" s="41"/>
      <c r="J1" s="41"/>
      <c r="K1" s="41"/>
      <c r="L1" s="41"/>
      <c r="M1" s="41"/>
      <c r="N1" s="41"/>
      <c r="P1" s="41"/>
    </row>
    <row r="2" spans="1:19" x14ac:dyDescent="0.2">
      <c r="B2" s="41"/>
      <c r="C2" s="41"/>
      <c r="D2" s="41" t="s">
        <v>202</v>
      </c>
      <c r="E2" s="41"/>
      <c r="F2" s="41"/>
      <c r="G2" s="41"/>
      <c r="H2" s="41"/>
      <c r="I2" s="41"/>
      <c r="J2" s="41"/>
      <c r="K2" s="41"/>
      <c r="L2" s="41"/>
      <c r="M2" s="41"/>
      <c r="N2" s="41"/>
      <c r="P2" s="41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8" t="s">
        <v>0</v>
      </c>
      <c r="D4" s="1022" t="str">
        <f>+'B) Reajuste Tarifas y Ocupación'!F5</f>
        <v>(DEPTO./DELEG.)</v>
      </c>
      <c r="E4" s="828"/>
      <c r="F4" s="1023"/>
      <c r="G4" s="245"/>
      <c r="H4" s="245"/>
      <c r="I4" s="245"/>
      <c r="J4" s="245"/>
      <c r="K4" s="245"/>
      <c r="L4" s="245"/>
      <c r="N4" s="245"/>
      <c r="P4" s="245"/>
    </row>
    <row r="5" spans="1:19" x14ac:dyDescent="0.2">
      <c r="A5" s="9"/>
      <c r="B5" s="19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P5" s="245"/>
    </row>
    <row r="6" spans="1:19" x14ac:dyDescent="0.2">
      <c r="A6" s="9"/>
      <c r="B6" s="19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P6" s="245"/>
    </row>
    <row r="7" spans="1:19" ht="12.75" customHeight="1" x14ac:dyDescent="0.2">
      <c r="A7" s="1035" t="s">
        <v>130</v>
      </c>
      <c r="B7" s="1036"/>
      <c r="C7" s="1036"/>
      <c r="D7" s="1036"/>
      <c r="E7" s="1036"/>
      <c r="F7" s="1036"/>
      <c r="G7" s="1036"/>
      <c r="H7" s="1036"/>
      <c r="I7" s="1036"/>
      <c r="J7" s="1036"/>
      <c r="K7" s="1036"/>
      <c r="L7" s="1036"/>
      <c r="M7" s="1036"/>
      <c r="N7" s="1036"/>
      <c r="O7" s="1037"/>
      <c r="P7" s="53"/>
    </row>
    <row r="8" spans="1:19" x14ac:dyDescent="0.2">
      <c r="A8" s="1038"/>
      <c r="B8" s="1039"/>
      <c r="C8" s="1039"/>
      <c r="D8" s="1039"/>
      <c r="E8" s="1039"/>
      <c r="F8" s="1039"/>
      <c r="G8" s="1039"/>
      <c r="H8" s="1039"/>
      <c r="I8" s="1039"/>
      <c r="J8" s="1039"/>
      <c r="K8" s="1039"/>
      <c r="L8" s="1039"/>
      <c r="M8" s="1039"/>
      <c r="N8" s="1039"/>
      <c r="O8" s="1040"/>
      <c r="P8" s="53"/>
    </row>
    <row r="9" spans="1:19" x14ac:dyDescent="0.2">
      <c r="A9" s="1041"/>
      <c r="B9" s="1042"/>
      <c r="C9" s="1042"/>
      <c r="D9" s="1042"/>
      <c r="E9" s="1042"/>
      <c r="F9" s="1042"/>
      <c r="G9" s="1042"/>
      <c r="H9" s="1042"/>
      <c r="I9" s="1042"/>
      <c r="J9" s="1042"/>
      <c r="K9" s="1042"/>
      <c r="L9" s="1042"/>
      <c r="M9" s="1042"/>
      <c r="N9" s="1042"/>
      <c r="O9" s="1043"/>
      <c r="P9" s="53"/>
    </row>
    <row r="10" spans="1:19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9" ht="15.75" x14ac:dyDescent="0.2">
      <c r="A12" s="984" t="s">
        <v>164</v>
      </c>
      <c r="B12" s="984"/>
      <c r="C12" s="984"/>
      <c r="D12" s="984"/>
      <c r="E12" s="246"/>
      <c r="F12" s="47"/>
      <c r="G12" s="47"/>
      <c r="H12" s="47"/>
      <c r="I12" s="46"/>
      <c r="J12" s="46"/>
      <c r="K12" s="47"/>
      <c r="L12" s="47"/>
      <c r="M12" s="47"/>
      <c r="N12" s="47"/>
      <c r="O12" s="47"/>
      <c r="P12" s="47"/>
    </row>
    <row r="13" spans="1:19" ht="13.5" thickBot="1" x14ac:dyDescent="0.25">
      <c r="A13" s="9"/>
      <c r="B13" s="19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P13" s="245"/>
    </row>
    <row r="14" spans="1:19" ht="20.25" customHeight="1" x14ac:dyDescent="0.2">
      <c r="A14" s="1026" t="s">
        <v>136</v>
      </c>
      <c r="B14" s="1028" t="s">
        <v>5</v>
      </c>
      <c r="C14" s="835" t="s">
        <v>235</v>
      </c>
      <c r="D14" s="836"/>
      <c r="E14" s="836"/>
      <c r="F14" s="836"/>
      <c r="G14" s="837"/>
      <c r="H14" s="1032" t="s">
        <v>145</v>
      </c>
      <c r="I14" s="1033"/>
      <c r="J14" s="1033"/>
      <c r="K14" s="1033"/>
      <c r="L14" s="1034"/>
      <c r="M14" s="1030" t="s">
        <v>109</v>
      </c>
      <c r="N14" s="1031"/>
      <c r="O14" s="1024" t="s">
        <v>110</v>
      </c>
      <c r="P14" s="1025"/>
      <c r="Q14" s="1020" t="s">
        <v>131</v>
      </c>
    </row>
    <row r="15" spans="1:19" ht="70.5" customHeight="1" thickBot="1" x14ac:dyDescent="0.25">
      <c r="A15" s="1027"/>
      <c r="B15" s="1029"/>
      <c r="C15" s="365" t="s">
        <v>86</v>
      </c>
      <c r="D15" s="366" t="s">
        <v>139</v>
      </c>
      <c r="E15" s="366" t="s">
        <v>140</v>
      </c>
      <c r="F15" s="366" t="s">
        <v>87</v>
      </c>
      <c r="G15" s="367" t="s">
        <v>88</v>
      </c>
      <c r="H15" s="368" t="s">
        <v>86</v>
      </c>
      <c r="I15" s="369" t="s">
        <v>139</v>
      </c>
      <c r="J15" s="369" t="s">
        <v>140</v>
      </c>
      <c r="K15" s="369" t="s">
        <v>87</v>
      </c>
      <c r="L15" s="370" t="s">
        <v>88</v>
      </c>
      <c r="M15" s="371" t="s">
        <v>72</v>
      </c>
      <c r="N15" s="217" t="s">
        <v>85</v>
      </c>
      <c r="O15" s="372" t="s">
        <v>72</v>
      </c>
      <c r="P15" s="217" t="s">
        <v>85</v>
      </c>
      <c r="Q15" s="1021"/>
    </row>
    <row r="16" spans="1:19" ht="12.75" customHeight="1" thickBot="1" x14ac:dyDescent="0.25">
      <c r="A16" s="1017" t="str">
        <f>'B) Reajuste Tarifas y Ocupación'!A12</f>
        <v>Jardín Infantil Olitas de Mar</v>
      </c>
      <c r="B16" s="373" t="str">
        <f>+'B) Reajuste Tarifas y Ocupación'!B12</f>
        <v>Media jornada</v>
      </c>
      <c r="C16" s="330">
        <f>+'B) Reajuste Tarifas y Ocupación'!M12</f>
        <v>49400</v>
      </c>
      <c r="D16" s="331">
        <f>+'B) Reajuste Tarifas y Ocupación'!N12</f>
        <v>59300</v>
      </c>
      <c r="E16" s="331">
        <f>+'B) Reajuste Tarifas y Ocupación'!O12</f>
        <v>59300</v>
      </c>
      <c r="F16" s="331">
        <f>+'B) Reajuste Tarifas y Ocupación'!P12</f>
        <v>74800</v>
      </c>
      <c r="G16" s="332">
        <f>+'B) Reajuste Tarifas y Ocupación'!Q12</f>
        <v>120100</v>
      </c>
      <c r="H16" s="376">
        <f t="shared" ref="H16:K17" si="0">IFERROR(C16/$Q16,0)</f>
        <v>0.26</v>
      </c>
      <c r="I16" s="155">
        <f t="shared" si="0"/>
        <v>0.31210526315789472</v>
      </c>
      <c r="J16" s="155">
        <f t="shared" si="0"/>
        <v>0.31210526315789472</v>
      </c>
      <c r="K16" s="155">
        <f t="shared" si="0"/>
        <v>0.3936842105263158</v>
      </c>
      <c r="L16" s="156">
        <f>IFERROR(G16/$Q16,0)</f>
        <v>0.63210526315789473</v>
      </c>
      <c r="M16" s="257" t="s">
        <v>323</v>
      </c>
      <c r="N16" s="225">
        <v>140000</v>
      </c>
      <c r="O16" s="257" t="s">
        <v>325</v>
      </c>
      <c r="P16" s="225">
        <v>240000</v>
      </c>
      <c r="Q16" s="378">
        <f>AVERAGE(N16,P16)</f>
        <v>190000</v>
      </c>
      <c r="R16" s="20"/>
      <c r="S16" s="21"/>
    </row>
    <row r="17" spans="1:19" ht="12.75" customHeight="1" thickBot="1" x14ac:dyDescent="0.25">
      <c r="A17" s="1018"/>
      <c r="B17" s="374" t="str">
        <f>+'B) Reajuste Tarifas y Ocupación'!B13</f>
        <v>Media jornada Extendida</v>
      </c>
      <c r="C17" s="333">
        <f>+'B) Reajuste Tarifas y Ocupación'!M13</f>
        <v>56400</v>
      </c>
      <c r="D17" s="329">
        <f>+'B) Reajuste Tarifas y Ocupación'!N13</f>
        <v>67700</v>
      </c>
      <c r="E17" s="329">
        <f>+'B) Reajuste Tarifas y Ocupación'!O13</f>
        <v>67700</v>
      </c>
      <c r="F17" s="329">
        <f>+'B) Reajuste Tarifas y Ocupación'!P13</f>
        <v>107000</v>
      </c>
      <c r="G17" s="334">
        <f>+'B) Reajuste Tarifas y Ocupación'!Q13</f>
        <v>159400</v>
      </c>
      <c r="H17" s="158">
        <f t="shared" si="0"/>
        <v>0</v>
      </c>
      <c r="I17" s="157">
        <f t="shared" si="0"/>
        <v>0</v>
      </c>
      <c r="J17" s="157">
        <f t="shared" si="0"/>
        <v>0</v>
      </c>
      <c r="K17" s="157">
        <f t="shared" si="0"/>
        <v>0</v>
      </c>
      <c r="L17" s="377">
        <f>IFERROR(G17/$Q17,0)</f>
        <v>0</v>
      </c>
      <c r="M17" s="441" t="s">
        <v>128</v>
      </c>
      <c r="N17" s="227">
        <v>0</v>
      </c>
      <c r="O17" s="226" t="s">
        <v>129</v>
      </c>
      <c r="P17" s="227"/>
      <c r="Q17" s="379">
        <f>AVERAGE(N17,P17)</f>
        <v>0</v>
      </c>
      <c r="R17" s="20"/>
      <c r="S17" s="21"/>
    </row>
    <row r="18" spans="1:19" ht="13.5" thickBot="1" x14ac:dyDescent="0.25">
      <c r="A18" s="1019"/>
      <c r="B18" s="375" t="str">
        <f>+'B) Reajuste Tarifas y Ocupación'!B14</f>
        <v>Jornada Completa</v>
      </c>
      <c r="C18" s="335">
        <f>+'B) Reajuste Tarifas y Ocupación'!M14</f>
        <v>88500</v>
      </c>
      <c r="D18" s="336">
        <f>+'B) Reajuste Tarifas y Ocupación'!N14</f>
        <v>106200</v>
      </c>
      <c r="E18" s="336">
        <f>+'B) Reajuste Tarifas y Ocupación'!O14</f>
        <v>106200</v>
      </c>
      <c r="F18" s="336">
        <f>+'B) Reajuste Tarifas y Ocupación'!P14</f>
        <v>137000</v>
      </c>
      <c r="G18" s="337">
        <f>+'B) Reajuste Tarifas y Ocupación'!Q14</f>
        <v>220300</v>
      </c>
      <c r="H18" s="230">
        <f t="shared" ref="H18:K19" si="1">IFERROR(C18/$Q18,0)</f>
        <v>0.35399999999999998</v>
      </c>
      <c r="I18" s="231">
        <f t="shared" si="1"/>
        <v>0.42480000000000001</v>
      </c>
      <c r="J18" s="231">
        <f t="shared" si="1"/>
        <v>0.42480000000000001</v>
      </c>
      <c r="K18" s="231">
        <f t="shared" si="1"/>
        <v>0.54800000000000004</v>
      </c>
      <c r="L18" s="232">
        <f>IFERROR(G18/$Q18,0)</f>
        <v>0.88119999999999998</v>
      </c>
      <c r="M18" s="441" t="s">
        <v>323</v>
      </c>
      <c r="N18" s="229">
        <v>200000</v>
      </c>
      <c r="O18" s="228" t="s">
        <v>325</v>
      </c>
      <c r="P18" s="229">
        <v>300000</v>
      </c>
      <c r="Q18" s="380">
        <f>AVERAGE(N18,P18)</f>
        <v>250000</v>
      </c>
      <c r="R18" s="20"/>
      <c r="S18" s="21"/>
    </row>
    <row r="19" spans="1:19" ht="13.5" thickBot="1" x14ac:dyDescent="0.25">
      <c r="A19" s="1017" t="str">
        <f>'B) Reajuste Tarifas y Ocupación'!A15</f>
        <v>Sala Cuna Olitas de Mar</v>
      </c>
      <c r="B19" s="373" t="str">
        <f>+'B) Reajuste Tarifas y Ocupación'!B15</f>
        <v>Diurna</v>
      </c>
      <c r="C19" s="330">
        <f>+'B) Reajuste Tarifas y Ocupación'!M15</f>
        <v>310000</v>
      </c>
      <c r="D19" s="331">
        <f>+'B) Reajuste Tarifas y Ocupación'!N15</f>
        <v>372000</v>
      </c>
      <c r="E19" s="331">
        <f>+'B) Reajuste Tarifas y Ocupación'!O15</f>
        <v>372000</v>
      </c>
      <c r="F19" s="331">
        <f>+'B) Reajuste Tarifas y Ocupación'!P15</f>
        <v>387500</v>
      </c>
      <c r="G19" s="332">
        <f>+'B) Reajuste Tarifas y Ocupación'!Q15</f>
        <v>465000</v>
      </c>
      <c r="H19" s="376">
        <f t="shared" si="1"/>
        <v>0.93939393939393945</v>
      </c>
      <c r="I19" s="155">
        <f t="shared" si="1"/>
        <v>1.1272727272727272</v>
      </c>
      <c r="J19" s="155">
        <f t="shared" si="1"/>
        <v>1.1272727272727272</v>
      </c>
      <c r="K19" s="155">
        <f t="shared" si="1"/>
        <v>1.1742424242424243</v>
      </c>
      <c r="L19" s="156">
        <f>IFERROR(G19/$Q19,0)</f>
        <v>1.4090909090909092</v>
      </c>
      <c r="M19" s="468" t="s">
        <v>369</v>
      </c>
      <c r="N19" s="469">
        <v>390000</v>
      </c>
      <c r="O19" s="441" t="s">
        <v>326</v>
      </c>
      <c r="P19" s="225">
        <v>270000</v>
      </c>
      <c r="Q19" s="378">
        <f>AVERAGE(N19,P19)</f>
        <v>330000</v>
      </c>
    </row>
    <row r="20" spans="1:19" ht="13.5" thickBot="1" x14ac:dyDescent="0.25">
      <c r="A20" s="1018"/>
      <c r="B20" s="374" t="str">
        <f>+'B) Reajuste Tarifas y Ocupación'!B16</f>
        <v>Nocturna</v>
      </c>
      <c r="C20" s="663"/>
      <c r="D20" s="664"/>
      <c r="E20" s="664"/>
      <c r="F20" s="664"/>
      <c r="G20" s="687"/>
      <c r="H20" s="691"/>
      <c r="I20" s="692"/>
      <c r="J20" s="692"/>
      <c r="K20" s="692"/>
      <c r="L20" s="693"/>
      <c r="M20" s="694"/>
      <c r="N20" s="695"/>
      <c r="O20" s="694"/>
      <c r="P20" s="695"/>
      <c r="Q20" s="696"/>
    </row>
    <row r="21" spans="1:19" ht="13.5" thickBot="1" x14ac:dyDescent="0.25">
      <c r="A21" s="1019"/>
      <c r="B21" s="375" t="str">
        <f>+'B) Reajuste Tarifas y Ocupación'!B17</f>
        <v>Media Jornada</v>
      </c>
      <c r="C21" s="458">
        <f>+'B) Reajuste Tarifas y Ocupación'!M17</f>
        <v>0</v>
      </c>
      <c r="D21" s="459">
        <f>+'B) Reajuste Tarifas y Ocupación'!N17</f>
        <v>0</v>
      </c>
      <c r="E21" s="459">
        <f>+'B) Reajuste Tarifas y Ocupación'!O17</f>
        <v>0</v>
      </c>
      <c r="F21" s="459">
        <f>+'B) Reajuste Tarifas y Ocupación'!P17</f>
        <v>0</v>
      </c>
      <c r="G21" s="460">
        <f>+'B) Reajuste Tarifas y Ocupación'!Q17</f>
        <v>0</v>
      </c>
      <c r="H21" s="462">
        <f>IFERROR(C21/$Q21,0)</f>
        <v>0</v>
      </c>
      <c r="I21" s="463">
        <f>IFERROR(D21/$Q21,0)</f>
        <v>0</v>
      </c>
      <c r="J21" s="463">
        <f>IFERROR(E21/$Q21,0)</f>
        <v>0</v>
      </c>
      <c r="K21" s="463">
        <f>IFERROR(F21/$Q21,0)</f>
        <v>0</v>
      </c>
      <c r="L21" s="470">
        <f>IFERROR(G21/$Q21,0)</f>
        <v>0</v>
      </c>
      <c r="M21" s="441" t="s">
        <v>324</v>
      </c>
      <c r="N21" s="225">
        <v>140000</v>
      </c>
      <c r="O21" s="468"/>
      <c r="P21" s="469"/>
      <c r="Q21" s="380">
        <f>AVERAGE(N21,P21)</f>
        <v>140000</v>
      </c>
    </row>
  </sheetData>
  <sheetProtection sheet="1" objects="1" scenarios="1"/>
  <mergeCells count="12">
    <mergeCell ref="A19:A21"/>
    <mergeCell ref="A16:A18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130"/>
  <sheetViews>
    <sheetView showGridLines="0" topLeftCell="A89" zoomScale="80" zoomScaleNormal="80" workbookViewId="0">
      <selection activeCell="D98" sqref="D98"/>
    </sheetView>
  </sheetViews>
  <sheetFormatPr baseColWidth="10" defaultColWidth="11.42578125" defaultRowHeight="12.75" x14ac:dyDescent="0.2"/>
  <cols>
    <col min="1" max="1" width="63.28515625" style="76" customWidth="1"/>
    <col min="2" max="2" width="31.7109375" style="76" customWidth="1"/>
    <col min="3" max="3" width="11.42578125" style="76"/>
    <col min="4" max="5" width="13.5703125" style="76" customWidth="1"/>
    <col min="6" max="6" width="13.7109375" style="76" customWidth="1"/>
    <col min="7" max="8" width="11.42578125" style="76"/>
    <col min="9" max="10" width="13.28515625" style="76" customWidth="1"/>
    <col min="11" max="15" width="11.42578125" style="76"/>
    <col min="16" max="16" width="202.85546875" style="76" customWidth="1"/>
    <col min="17" max="16384" width="11.42578125" style="76"/>
  </cols>
  <sheetData>
    <row r="1" spans="1:15" x14ac:dyDescent="0.2">
      <c r="I1" s="250"/>
      <c r="J1" s="253"/>
    </row>
    <row r="2" spans="1:15" x14ac:dyDescent="0.2">
      <c r="I2" s="250" t="s">
        <v>203</v>
      </c>
      <c r="J2" s="253"/>
    </row>
    <row r="4" spans="1:15" ht="19.5" customHeight="1" x14ac:dyDescent="0.2">
      <c r="H4" s="251" t="s">
        <v>0</v>
      </c>
      <c r="I4" s="977" t="str">
        <f>+'B) Reajuste Tarifas y Ocupación'!F5</f>
        <v>(DEPTO./DELEG.)</v>
      </c>
      <c r="J4" s="978"/>
    </row>
    <row r="6" spans="1:15" ht="12.75" customHeight="1" x14ac:dyDescent="0.2">
      <c r="A6" s="252" t="s">
        <v>122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</row>
    <row r="8" spans="1:15" x14ac:dyDescent="0.2">
      <c r="A8" s="715" t="s">
        <v>294</v>
      </c>
      <c r="B8" s="1052" t="s">
        <v>295</v>
      </c>
      <c r="C8" s="1052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</row>
    <row r="13" spans="1:15" x14ac:dyDescent="0.2">
      <c r="A13" s="716" t="s">
        <v>305</v>
      </c>
      <c r="B13" s="1052" t="s">
        <v>296</v>
      </c>
      <c r="C13" s="1052"/>
    </row>
    <row r="14" spans="1:15" x14ac:dyDescent="0.2">
      <c r="A14" s="714"/>
      <c r="B14" s="714"/>
      <c r="C14" s="714"/>
    </row>
    <row r="15" spans="1:15" s="779" customFormat="1" x14ac:dyDescent="0.2">
      <c r="A15" s="779" t="s">
        <v>379</v>
      </c>
    </row>
    <row r="16" spans="1:15" s="779" customFormat="1" x14ac:dyDescent="0.2"/>
    <row r="17" spans="1:6" s="779" customFormat="1" x14ac:dyDescent="0.2">
      <c r="B17" s="779" t="s">
        <v>297</v>
      </c>
      <c r="C17" s="779" t="s">
        <v>298</v>
      </c>
      <c r="E17" s="779" t="s">
        <v>299</v>
      </c>
      <c r="F17" s="779" t="s">
        <v>383</v>
      </c>
    </row>
    <row r="18" spans="1:6" s="779" customFormat="1" x14ac:dyDescent="0.2">
      <c r="C18" s="779" t="s">
        <v>300</v>
      </c>
      <c r="E18" s="779" t="s">
        <v>299</v>
      </c>
      <c r="F18" s="779" t="s">
        <v>384</v>
      </c>
    </row>
    <row r="19" spans="1:6" s="779" customFormat="1" x14ac:dyDescent="0.2">
      <c r="C19" s="779" t="s">
        <v>301</v>
      </c>
      <c r="E19" s="779" t="s">
        <v>299</v>
      </c>
      <c r="F19" s="779" t="s">
        <v>385</v>
      </c>
    </row>
    <row r="20" spans="1:6" s="779" customFormat="1" x14ac:dyDescent="0.2">
      <c r="F20" s="779" t="s">
        <v>386</v>
      </c>
    </row>
    <row r="21" spans="1:6" s="779" customFormat="1" x14ac:dyDescent="0.2">
      <c r="F21" s="779" t="s">
        <v>376</v>
      </c>
    </row>
    <row r="22" spans="1:6" s="779" customFormat="1" x14ac:dyDescent="0.2"/>
    <row r="23" spans="1:6" s="779" customFormat="1" x14ac:dyDescent="0.2">
      <c r="B23" s="779" t="s">
        <v>302</v>
      </c>
      <c r="C23" s="779" t="s">
        <v>303</v>
      </c>
      <c r="F23" s="779" t="s">
        <v>380</v>
      </c>
    </row>
    <row r="24" spans="1:6" s="779" customFormat="1" x14ac:dyDescent="0.2">
      <c r="F24" s="779" t="s">
        <v>381</v>
      </c>
    </row>
    <row r="25" spans="1:6" s="779" customFormat="1" x14ac:dyDescent="0.2">
      <c r="F25" s="779" t="s">
        <v>382</v>
      </c>
    </row>
    <row r="26" spans="1:6" s="779" customFormat="1" x14ac:dyDescent="0.2">
      <c r="A26" s="789" t="s">
        <v>377</v>
      </c>
    </row>
    <row r="27" spans="1:6" s="779" customFormat="1" x14ac:dyDescent="0.2"/>
    <row r="28" spans="1:6" s="779" customFormat="1" x14ac:dyDescent="0.2">
      <c r="B28" s="779" t="s">
        <v>304</v>
      </c>
    </row>
    <row r="31" spans="1:6" x14ac:dyDescent="0.2">
      <c r="A31" s="76" t="s">
        <v>378</v>
      </c>
    </row>
    <row r="33" spans="1:16" s="723" customFormat="1" ht="42.75" customHeight="1" x14ac:dyDescent="0.2">
      <c r="B33" s="724"/>
      <c r="C33" s="725" t="s">
        <v>306</v>
      </c>
      <c r="D33" s="726" t="s">
        <v>307</v>
      </c>
      <c r="E33" s="725" t="s">
        <v>308</v>
      </c>
    </row>
    <row r="34" spans="1:16" s="718" customFormat="1" ht="15" customHeight="1" x14ac:dyDescent="0.2">
      <c r="B34" s="717" t="s">
        <v>309</v>
      </c>
      <c r="C34" s="719" t="s">
        <v>310</v>
      </c>
      <c r="D34" s="722">
        <v>19000000</v>
      </c>
      <c r="E34" s="720">
        <f>D34*2</f>
        <v>38000000</v>
      </c>
    </row>
    <row r="35" spans="1:16" s="718" customFormat="1" ht="15" customHeight="1" x14ac:dyDescent="0.2">
      <c r="B35" s="717" t="s">
        <v>311</v>
      </c>
      <c r="C35" s="719" t="s">
        <v>312</v>
      </c>
      <c r="D35" s="722">
        <v>12000000</v>
      </c>
      <c r="E35" s="720">
        <f>D35*2</f>
        <v>24000000</v>
      </c>
    </row>
    <row r="36" spans="1:16" s="718" customFormat="1" ht="15" customHeight="1" x14ac:dyDescent="0.2">
      <c r="B36" s="717" t="s">
        <v>313</v>
      </c>
      <c r="C36" s="719" t="s">
        <v>272</v>
      </c>
      <c r="D36" s="722">
        <v>6000000</v>
      </c>
      <c r="E36" s="720">
        <f>+D36</f>
        <v>6000000</v>
      </c>
    </row>
    <row r="37" spans="1:16" s="718" customFormat="1" ht="15" customHeight="1" x14ac:dyDescent="0.2">
      <c r="B37" s="717" t="s">
        <v>314</v>
      </c>
      <c r="C37" s="719" t="s">
        <v>272</v>
      </c>
      <c r="D37" s="722">
        <v>6000000</v>
      </c>
      <c r="E37" s="720">
        <f>+D37</f>
        <v>6000000</v>
      </c>
    </row>
    <row r="39" spans="1:16" x14ac:dyDescent="0.2">
      <c r="B39" s="1050" t="s">
        <v>315</v>
      </c>
      <c r="C39" s="1050"/>
      <c r="D39" s="1051"/>
      <c r="E39" s="721">
        <f>SUM(E34:E38)</f>
        <v>74000000</v>
      </c>
    </row>
    <row r="43" spans="1:16" ht="18" x14ac:dyDescent="0.25">
      <c r="A43" s="742" t="s">
        <v>322</v>
      </c>
      <c r="B43" s="743"/>
      <c r="C43" s="743"/>
      <c r="D43" s="743"/>
      <c r="E43" s="743"/>
    </row>
    <row r="44" spans="1:16" x14ac:dyDescent="0.2">
      <c r="A44" s="1062" t="s">
        <v>76</v>
      </c>
      <c r="B44" s="1064" t="s">
        <v>77</v>
      </c>
      <c r="C44" s="1065" t="s">
        <v>78</v>
      </c>
      <c r="D44" s="1065"/>
      <c r="E44" s="1065"/>
      <c r="F44" s="1066" t="s">
        <v>245</v>
      </c>
      <c r="G44" s="728"/>
    </row>
    <row r="45" spans="1:16" ht="38.25" x14ac:dyDescent="0.2">
      <c r="A45" s="1063"/>
      <c r="B45" s="1064"/>
      <c r="C45" s="729" t="s">
        <v>67</v>
      </c>
      <c r="D45" s="730" t="s">
        <v>68</v>
      </c>
      <c r="E45" s="731" t="s">
        <v>6</v>
      </c>
      <c r="F45" s="903"/>
      <c r="G45" s="728"/>
    </row>
    <row r="46" spans="1:16" s="779" customFormat="1" x14ac:dyDescent="0.2">
      <c r="A46" s="774" t="s">
        <v>95</v>
      </c>
      <c r="B46" s="775">
        <v>16664466</v>
      </c>
      <c r="C46" s="776">
        <v>0</v>
      </c>
      <c r="D46" s="777">
        <v>0</v>
      </c>
      <c r="E46" s="778">
        <f>C46*D46</f>
        <v>0</v>
      </c>
      <c r="F46" s="775">
        <f>+B46</f>
        <v>16664466</v>
      </c>
      <c r="G46" s="1070" t="s">
        <v>375</v>
      </c>
      <c r="H46" s="1071"/>
      <c r="I46" s="1071"/>
      <c r="J46" s="1071"/>
      <c r="K46" s="1071"/>
      <c r="L46" s="1071"/>
      <c r="M46" s="1071"/>
      <c r="N46" s="1071"/>
      <c r="O46" s="1071"/>
      <c r="P46" s="1072"/>
    </row>
    <row r="47" spans="1:16" s="784" customFormat="1" x14ac:dyDescent="0.2">
      <c r="A47" s="749" t="s">
        <v>320</v>
      </c>
      <c r="B47" s="567">
        <v>0</v>
      </c>
      <c r="C47" s="567">
        <v>0</v>
      </c>
      <c r="D47" s="785">
        <v>0</v>
      </c>
      <c r="E47" s="783">
        <v>0</v>
      </c>
      <c r="F47" s="787">
        <f>+B47</f>
        <v>0</v>
      </c>
      <c r="G47" s="1073"/>
      <c r="H47" s="1074"/>
      <c r="I47" s="1074"/>
      <c r="J47" s="1074"/>
      <c r="K47" s="1074"/>
      <c r="L47" s="1074"/>
      <c r="M47" s="1074"/>
      <c r="N47" s="1074"/>
      <c r="O47" s="1074"/>
      <c r="P47" s="1075"/>
    </row>
    <row r="48" spans="1:16" s="779" customFormat="1" x14ac:dyDescent="0.2">
      <c r="A48" s="782" t="s">
        <v>175</v>
      </c>
      <c r="B48" s="780">
        <v>149939</v>
      </c>
      <c r="C48" s="780">
        <v>0</v>
      </c>
      <c r="D48" s="781">
        <v>0</v>
      </c>
      <c r="E48" s="778">
        <v>0</v>
      </c>
      <c r="F48" s="786">
        <f>+B48</f>
        <v>149939</v>
      </c>
      <c r="G48" s="1067" t="s">
        <v>373</v>
      </c>
      <c r="H48" s="1068"/>
      <c r="I48" s="1068"/>
      <c r="J48" s="1068"/>
      <c r="K48" s="1068"/>
      <c r="L48" s="1068"/>
      <c r="M48" s="1068"/>
      <c r="N48" s="1068"/>
      <c r="O48" s="1068"/>
      <c r="P48" s="1069"/>
    </row>
    <row r="49" spans="1:16" x14ac:dyDescent="0.2">
      <c r="A49" s="732" t="s">
        <v>176</v>
      </c>
      <c r="B49" s="567">
        <v>0</v>
      </c>
      <c r="C49" s="568">
        <v>0</v>
      </c>
      <c r="D49" s="569">
        <v>0</v>
      </c>
      <c r="E49" s="733">
        <v>0</v>
      </c>
      <c r="F49" s="734">
        <v>0</v>
      </c>
      <c r="G49" s="1053"/>
      <c r="H49" s="1054"/>
      <c r="I49" s="1054"/>
      <c r="J49" s="1054"/>
      <c r="K49" s="1054"/>
      <c r="L49" s="1054"/>
      <c r="M49" s="1054"/>
      <c r="N49" s="1054"/>
      <c r="O49" s="1054"/>
      <c r="P49" s="1055"/>
    </row>
    <row r="50" spans="1:16" ht="17.649999999999999" customHeight="1" x14ac:dyDescent="0.2">
      <c r="A50" s="748" t="s">
        <v>177</v>
      </c>
      <c r="B50" s="567">
        <v>0</v>
      </c>
      <c r="C50" s="568">
        <v>1839</v>
      </c>
      <c r="D50" s="569">
        <v>2200</v>
      </c>
      <c r="E50" s="733">
        <f t="shared" ref="E50:E65" si="0">C50*D50</f>
        <v>4045800</v>
      </c>
      <c r="F50" s="734">
        <f t="shared" ref="F50:F84" si="1">B50+E50</f>
        <v>4045800</v>
      </c>
      <c r="G50" s="1056" t="s">
        <v>329</v>
      </c>
      <c r="H50" s="1057"/>
      <c r="I50" s="1057"/>
      <c r="J50" s="1057"/>
      <c r="K50" s="1057"/>
      <c r="L50" s="1057"/>
      <c r="M50" s="1057"/>
      <c r="N50" s="1057"/>
      <c r="O50" s="1057"/>
      <c r="P50" s="1058"/>
    </row>
    <row r="51" spans="1:16" ht="17.649999999999999" customHeight="1" x14ac:dyDescent="0.2">
      <c r="A51" s="748" t="s">
        <v>178</v>
      </c>
      <c r="B51" s="567">
        <v>0</v>
      </c>
      <c r="C51" s="568">
        <v>1000</v>
      </c>
      <c r="D51" s="569">
        <v>9240</v>
      </c>
      <c r="E51" s="733">
        <f t="shared" si="0"/>
        <v>9240000</v>
      </c>
      <c r="F51" s="734">
        <f t="shared" si="1"/>
        <v>9240000</v>
      </c>
      <c r="G51" s="1047" t="s">
        <v>330</v>
      </c>
      <c r="H51" s="1048"/>
      <c r="I51" s="1048"/>
      <c r="J51" s="1048"/>
      <c r="K51" s="1048"/>
      <c r="L51" s="1048"/>
      <c r="M51" s="1048"/>
      <c r="N51" s="1048"/>
      <c r="O51" s="1048"/>
      <c r="P51" s="1049"/>
    </row>
    <row r="52" spans="1:16" ht="16.899999999999999" customHeight="1" x14ac:dyDescent="0.2">
      <c r="A52" s="748" t="s">
        <v>179</v>
      </c>
      <c r="B52" s="567">
        <v>0</v>
      </c>
      <c r="C52" s="568">
        <v>1839</v>
      </c>
      <c r="D52" s="569">
        <v>40</v>
      </c>
      <c r="E52" s="733">
        <f t="shared" si="0"/>
        <v>73560</v>
      </c>
      <c r="F52" s="734">
        <f t="shared" si="1"/>
        <v>73560</v>
      </c>
      <c r="G52" s="1047" t="s">
        <v>331</v>
      </c>
      <c r="H52" s="1048"/>
      <c r="I52" s="1048"/>
      <c r="J52" s="1048"/>
      <c r="K52" s="1048"/>
      <c r="L52" s="1048"/>
      <c r="M52" s="1048"/>
      <c r="N52" s="1048"/>
      <c r="O52" s="1048"/>
      <c r="P52" s="1049"/>
    </row>
    <row r="53" spans="1:16" ht="16.899999999999999" customHeight="1" x14ac:dyDescent="0.2">
      <c r="A53" s="748" t="s">
        <v>336</v>
      </c>
      <c r="B53" s="567">
        <v>4625888</v>
      </c>
      <c r="C53" s="568"/>
      <c r="D53" s="569"/>
      <c r="E53" s="733"/>
      <c r="F53" s="734"/>
      <c r="G53" s="769" t="s">
        <v>350</v>
      </c>
      <c r="H53" s="770"/>
      <c r="I53" s="770"/>
      <c r="J53" s="770"/>
      <c r="K53" s="770"/>
      <c r="L53" s="770"/>
      <c r="M53" s="770"/>
      <c r="N53" s="770"/>
      <c r="O53" s="770"/>
      <c r="P53" s="771"/>
    </row>
    <row r="54" spans="1:16" ht="16.899999999999999" customHeight="1" x14ac:dyDescent="0.2">
      <c r="A54" s="748" t="s">
        <v>41</v>
      </c>
      <c r="B54" s="567">
        <v>337600</v>
      </c>
      <c r="C54" s="568"/>
      <c r="D54" s="569"/>
      <c r="E54" s="733"/>
      <c r="F54" s="734"/>
      <c r="G54" s="755" t="s">
        <v>348</v>
      </c>
      <c r="H54" s="756"/>
      <c r="I54" s="756"/>
      <c r="J54" s="756"/>
      <c r="K54" s="756"/>
      <c r="L54" s="756"/>
      <c r="M54" s="756"/>
      <c r="N54" s="756"/>
      <c r="O54" s="756"/>
      <c r="P54" s="757"/>
    </row>
    <row r="55" spans="1:16" ht="27" customHeight="1" x14ac:dyDescent="0.2">
      <c r="A55" s="444" t="s">
        <v>189</v>
      </c>
      <c r="B55" s="567">
        <v>64000</v>
      </c>
      <c r="C55" s="568"/>
      <c r="D55" s="569"/>
      <c r="E55" s="733"/>
      <c r="F55" s="734"/>
      <c r="G55" s="772" t="s">
        <v>367</v>
      </c>
      <c r="H55" s="762"/>
      <c r="I55" s="762"/>
      <c r="J55" s="762"/>
      <c r="K55" s="762"/>
      <c r="L55" s="762"/>
      <c r="M55" s="762"/>
      <c r="N55" s="762"/>
      <c r="O55" s="762"/>
      <c r="P55" s="763"/>
    </row>
    <row r="56" spans="1:16" ht="16.899999999999999" customHeight="1" x14ac:dyDescent="0.2">
      <c r="A56" s="748" t="s">
        <v>341</v>
      </c>
      <c r="B56" s="567">
        <v>57200</v>
      </c>
      <c r="C56" s="568">
        <v>1300</v>
      </c>
      <c r="D56" s="569"/>
      <c r="E56" s="733"/>
      <c r="F56" s="734"/>
      <c r="G56" s="767" t="s">
        <v>363</v>
      </c>
      <c r="H56" s="756"/>
      <c r="I56" s="756"/>
      <c r="J56" s="756"/>
      <c r="K56" s="756"/>
      <c r="L56" s="756"/>
      <c r="M56" s="756"/>
      <c r="N56" s="756"/>
      <c r="O56" s="756"/>
      <c r="P56" s="757"/>
    </row>
    <row r="57" spans="1:16" ht="23.25" customHeight="1" x14ac:dyDescent="0.2">
      <c r="A57" s="748" t="s">
        <v>180</v>
      </c>
      <c r="B57" s="567">
        <v>80000</v>
      </c>
      <c r="C57" s="568">
        <v>10000</v>
      </c>
      <c r="D57" s="569"/>
      <c r="E57" s="733">
        <f t="shared" si="0"/>
        <v>0</v>
      </c>
      <c r="F57" s="734">
        <f t="shared" si="1"/>
        <v>80000</v>
      </c>
      <c r="G57" s="1059" t="s">
        <v>354</v>
      </c>
      <c r="H57" s="1060"/>
      <c r="I57" s="1060"/>
      <c r="J57" s="1060"/>
      <c r="K57" s="1060"/>
      <c r="L57" s="1060"/>
      <c r="M57" s="1060"/>
      <c r="N57" s="1060"/>
      <c r="O57" s="1060"/>
      <c r="P57" s="1061"/>
    </row>
    <row r="58" spans="1:16" ht="15.75" customHeight="1" x14ac:dyDescent="0.2">
      <c r="A58" s="748" t="s">
        <v>19</v>
      </c>
      <c r="B58" s="567">
        <v>80000</v>
      </c>
      <c r="C58" s="568">
        <v>0</v>
      </c>
      <c r="D58" s="569">
        <v>0</v>
      </c>
      <c r="E58" s="733">
        <f t="shared" si="0"/>
        <v>0</v>
      </c>
      <c r="F58" s="734">
        <f t="shared" si="1"/>
        <v>80000</v>
      </c>
      <c r="G58" s="1047" t="s">
        <v>316</v>
      </c>
      <c r="H58" s="1048"/>
      <c r="I58" s="1048"/>
      <c r="J58" s="1048"/>
      <c r="K58" s="1048"/>
      <c r="L58" s="1048"/>
      <c r="M58" s="1048"/>
      <c r="N58" s="1048"/>
      <c r="O58" s="1048"/>
      <c r="P58" s="1049"/>
    </row>
    <row r="59" spans="1:16" ht="15.75" customHeight="1" x14ac:dyDescent="0.2">
      <c r="A59" s="748" t="s">
        <v>337</v>
      </c>
      <c r="B59" s="567"/>
      <c r="C59" s="568"/>
      <c r="D59" s="569"/>
      <c r="E59" s="733"/>
      <c r="F59" s="734"/>
      <c r="G59" s="755"/>
      <c r="H59" s="756"/>
      <c r="I59" s="756"/>
      <c r="J59" s="756"/>
      <c r="K59" s="756"/>
      <c r="L59" s="756"/>
      <c r="M59" s="756"/>
      <c r="N59" s="756"/>
      <c r="O59" s="756"/>
      <c r="P59" s="757"/>
    </row>
    <row r="60" spans="1:16" ht="18.399999999999999" customHeight="1" x14ac:dyDescent="0.2">
      <c r="A60" s="748" t="s">
        <v>327</v>
      </c>
      <c r="B60" s="567">
        <v>239904</v>
      </c>
      <c r="C60" s="568"/>
      <c r="D60" s="569"/>
      <c r="E60" s="733"/>
      <c r="F60" s="734">
        <f>+B60</f>
        <v>239904</v>
      </c>
      <c r="G60" s="735" t="s">
        <v>317</v>
      </c>
      <c r="H60" s="736"/>
      <c r="I60" s="736"/>
      <c r="J60" s="736"/>
      <c r="K60" s="736"/>
      <c r="L60" s="736"/>
      <c r="M60" s="736"/>
      <c r="N60" s="736"/>
      <c r="O60" s="736"/>
      <c r="P60" s="737"/>
    </row>
    <row r="61" spans="1:16" ht="16.149999999999999" customHeight="1" x14ac:dyDescent="0.2">
      <c r="A61" s="732" t="s">
        <v>24</v>
      </c>
      <c r="B61" s="567">
        <v>1029890</v>
      </c>
      <c r="C61" s="568">
        <v>0</v>
      </c>
      <c r="D61" s="569">
        <v>0</v>
      </c>
      <c r="E61" s="733">
        <f t="shared" si="0"/>
        <v>0</v>
      </c>
      <c r="F61" s="734">
        <f t="shared" si="1"/>
        <v>1029890</v>
      </c>
      <c r="G61" s="1047" t="s">
        <v>347</v>
      </c>
      <c r="H61" s="1048"/>
      <c r="I61" s="1048"/>
      <c r="J61" s="1048"/>
      <c r="K61" s="1048"/>
      <c r="L61" s="1048"/>
      <c r="M61" s="1048"/>
      <c r="N61" s="1048"/>
      <c r="O61" s="1048"/>
      <c r="P61" s="1049"/>
    </row>
    <row r="62" spans="1:16" ht="18" customHeight="1" x14ac:dyDescent="0.2">
      <c r="A62" s="732" t="s">
        <v>25</v>
      </c>
      <c r="B62" s="567">
        <v>1140404</v>
      </c>
      <c r="C62" s="568">
        <v>0</v>
      </c>
      <c r="D62" s="569">
        <v>0</v>
      </c>
      <c r="E62" s="733">
        <f t="shared" si="0"/>
        <v>0</v>
      </c>
      <c r="F62" s="734">
        <f t="shared" si="1"/>
        <v>1140404</v>
      </c>
      <c r="G62" s="1047" t="s">
        <v>346</v>
      </c>
      <c r="H62" s="1048"/>
      <c r="I62" s="1048"/>
      <c r="J62" s="1048"/>
      <c r="K62" s="1048"/>
      <c r="L62" s="1048"/>
      <c r="M62" s="1048"/>
      <c r="N62" s="1048"/>
      <c r="O62" s="1048"/>
      <c r="P62" s="1049"/>
    </row>
    <row r="63" spans="1:16" ht="18.75" customHeight="1" x14ac:dyDescent="0.2">
      <c r="A63" s="732" t="s">
        <v>26</v>
      </c>
      <c r="B63" s="567">
        <v>928278</v>
      </c>
      <c r="C63" s="568">
        <v>0</v>
      </c>
      <c r="D63" s="569">
        <v>0</v>
      </c>
      <c r="E63" s="733">
        <f t="shared" si="0"/>
        <v>0</v>
      </c>
      <c r="F63" s="734">
        <f t="shared" si="1"/>
        <v>928278</v>
      </c>
      <c r="G63" s="1047" t="s">
        <v>347</v>
      </c>
      <c r="H63" s="1048"/>
      <c r="I63" s="1048"/>
      <c r="J63" s="1048"/>
      <c r="K63" s="1048"/>
      <c r="L63" s="1048"/>
      <c r="M63" s="1048"/>
      <c r="N63" s="1048"/>
      <c r="O63" s="1048"/>
      <c r="P63" s="1049"/>
    </row>
    <row r="64" spans="1:16" ht="23.65" customHeight="1" x14ac:dyDescent="0.2">
      <c r="A64" s="732" t="s">
        <v>185</v>
      </c>
      <c r="B64" s="567">
        <v>1636256</v>
      </c>
      <c r="C64" s="568"/>
      <c r="D64" s="569"/>
      <c r="E64" s="733">
        <f t="shared" si="0"/>
        <v>0</v>
      </c>
      <c r="F64" s="734">
        <f t="shared" si="1"/>
        <v>1636256</v>
      </c>
      <c r="G64" s="1047"/>
      <c r="H64" s="1048"/>
      <c r="I64" s="1048"/>
      <c r="J64" s="1048"/>
      <c r="K64" s="1048"/>
      <c r="L64" s="1048"/>
      <c r="M64" s="1048"/>
      <c r="N64" s="1048"/>
      <c r="O64" s="1048"/>
      <c r="P64" s="1049"/>
    </row>
    <row r="65" spans="1:16" ht="19.5" customHeight="1" x14ac:dyDescent="0.2">
      <c r="A65" s="732" t="s">
        <v>186</v>
      </c>
      <c r="B65" s="567"/>
      <c r="C65" s="568">
        <v>0</v>
      </c>
      <c r="D65" s="569">
        <v>0</v>
      </c>
      <c r="E65" s="733">
        <f t="shared" si="0"/>
        <v>0</v>
      </c>
      <c r="F65" s="734"/>
      <c r="G65" s="1047"/>
      <c r="H65" s="1048"/>
      <c r="I65" s="1048"/>
      <c r="J65" s="1048"/>
      <c r="K65" s="1048"/>
      <c r="L65" s="1048"/>
      <c r="M65" s="1048"/>
      <c r="N65" s="1048"/>
      <c r="O65" s="1048"/>
      <c r="P65" s="1049"/>
    </row>
    <row r="66" spans="1:16" ht="22.15" customHeight="1" x14ac:dyDescent="0.2">
      <c r="A66" s="732" t="s">
        <v>187</v>
      </c>
      <c r="B66" s="567"/>
      <c r="C66" s="568">
        <v>20000</v>
      </c>
      <c r="D66" s="569">
        <v>9</v>
      </c>
      <c r="E66" s="733">
        <f>C66*D66</f>
        <v>180000</v>
      </c>
      <c r="F66" s="734">
        <f t="shared" si="1"/>
        <v>180000</v>
      </c>
      <c r="G66" s="1047" t="s">
        <v>344</v>
      </c>
      <c r="H66" s="1048"/>
      <c r="I66" s="1048"/>
      <c r="J66" s="1048"/>
      <c r="K66" s="1048"/>
      <c r="L66" s="1048"/>
      <c r="M66" s="1048"/>
      <c r="N66" s="1048"/>
      <c r="O66" s="1048"/>
      <c r="P66" s="1049"/>
    </row>
    <row r="67" spans="1:16" ht="16.149999999999999" customHeight="1" x14ac:dyDescent="0.2">
      <c r="A67" s="732" t="s">
        <v>188</v>
      </c>
      <c r="B67" s="567"/>
      <c r="C67" s="568">
        <v>24990</v>
      </c>
      <c r="D67" s="569">
        <v>2</v>
      </c>
      <c r="E67" s="733">
        <f>C67*D67</f>
        <v>49980</v>
      </c>
      <c r="F67" s="734">
        <f t="shared" si="1"/>
        <v>49980</v>
      </c>
      <c r="G67" s="1059" t="s">
        <v>318</v>
      </c>
      <c r="H67" s="1060"/>
      <c r="I67" s="1060"/>
      <c r="J67" s="1060"/>
      <c r="K67" s="1060"/>
      <c r="L67" s="1060"/>
      <c r="M67" s="1060"/>
      <c r="N67" s="1060"/>
      <c r="O67" s="1060"/>
      <c r="P67" s="1061"/>
    </row>
    <row r="68" spans="1:16" ht="25.5" customHeight="1" x14ac:dyDescent="0.2">
      <c r="A68" s="749" t="s">
        <v>328</v>
      </c>
      <c r="B68" s="567"/>
      <c r="C68" s="568">
        <v>0</v>
      </c>
      <c r="D68" s="569">
        <v>0</v>
      </c>
      <c r="E68" s="733">
        <f t="shared" ref="E68:E84" si="2">C68*D68</f>
        <v>0</v>
      </c>
      <c r="F68" s="738"/>
      <c r="G68" s="1047"/>
      <c r="H68" s="1048"/>
      <c r="I68" s="1048"/>
      <c r="J68" s="1048"/>
      <c r="K68" s="1048"/>
      <c r="L68" s="1048"/>
      <c r="M68" s="1048"/>
      <c r="N68" s="1048"/>
      <c r="O68" s="1048"/>
      <c r="P68" s="1049"/>
    </row>
    <row r="69" spans="1:16" ht="21.4" customHeight="1" x14ac:dyDescent="0.2">
      <c r="A69" s="750" t="s">
        <v>51</v>
      </c>
      <c r="B69" s="567">
        <v>200000</v>
      </c>
      <c r="C69" s="567">
        <v>0</v>
      </c>
      <c r="D69" s="569">
        <v>0</v>
      </c>
      <c r="E69" s="733">
        <f t="shared" si="2"/>
        <v>0</v>
      </c>
      <c r="F69" s="739">
        <f t="shared" si="1"/>
        <v>200000</v>
      </c>
      <c r="G69" s="1047" t="s">
        <v>332</v>
      </c>
      <c r="H69" s="1048"/>
      <c r="I69" s="1048"/>
      <c r="J69" s="1048"/>
      <c r="K69" s="1048"/>
      <c r="L69" s="1048"/>
      <c r="M69" s="1048"/>
      <c r="N69" s="1048"/>
      <c r="O69" s="1048"/>
      <c r="P69" s="1049"/>
    </row>
    <row r="70" spans="1:16" ht="21.4" customHeight="1" x14ac:dyDescent="0.2">
      <c r="A70" s="750" t="s">
        <v>338</v>
      </c>
      <c r="B70" s="567">
        <v>3619094</v>
      </c>
      <c r="C70" s="567"/>
      <c r="D70" s="569"/>
      <c r="E70" s="733"/>
      <c r="F70" s="739"/>
      <c r="G70" s="759"/>
      <c r="H70" s="759" t="s">
        <v>362</v>
      </c>
      <c r="I70" s="759"/>
      <c r="J70" s="759"/>
      <c r="K70" s="759"/>
      <c r="L70" s="759"/>
      <c r="M70" s="759"/>
      <c r="N70" s="759"/>
      <c r="O70" s="759"/>
      <c r="P70" s="760"/>
    </row>
    <row r="71" spans="1:16" ht="16.899999999999999" customHeight="1" x14ac:dyDescent="0.2">
      <c r="A71" s="732" t="s">
        <v>47</v>
      </c>
      <c r="B71" s="567">
        <v>800000</v>
      </c>
      <c r="C71" s="567">
        <v>0</v>
      </c>
      <c r="D71" s="569">
        <v>0</v>
      </c>
      <c r="E71" s="733">
        <f t="shared" si="2"/>
        <v>0</v>
      </c>
      <c r="F71" s="739">
        <f t="shared" si="1"/>
        <v>800000</v>
      </c>
      <c r="G71" s="1079" t="s">
        <v>333</v>
      </c>
      <c r="H71" s="1048"/>
      <c r="I71" s="1048"/>
      <c r="J71" s="1048"/>
      <c r="K71" s="1048"/>
      <c r="L71" s="1048"/>
      <c r="M71" s="1048"/>
      <c r="N71" s="1048"/>
      <c r="O71" s="1048"/>
      <c r="P71" s="1049"/>
    </row>
    <row r="72" spans="1:16" ht="15.75" customHeight="1" x14ac:dyDescent="0.2">
      <c r="A72" s="751" t="s">
        <v>52</v>
      </c>
      <c r="B72" s="567"/>
      <c r="C72" s="567">
        <v>0</v>
      </c>
      <c r="D72" s="569">
        <v>0</v>
      </c>
      <c r="E72" s="733">
        <f t="shared" si="2"/>
        <v>0</v>
      </c>
      <c r="F72" s="740"/>
      <c r="G72" s="1047"/>
      <c r="H72" s="1048"/>
      <c r="I72" s="1048"/>
      <c r="J72" s="1048"/>
      <c r="K72" s="1048"/>
      <c r="L72" s="1048"/>
      <c r="M72" s="1048"/>
      <c r="N72" s="1048"/>
      <c r="O72" s="1048"/>
      <c r="P72" s="1049"/>
    </row>
    <row r="73" spans="1:16" ht="20.25" customHeight="1" x14ac:dyDescent="0.2">
      <c r="A73" s="732" t="s">
        <v>190</v>
      </c>
      <c r="B73" s="567">
        <v>104000</v>
      </c>
      <c r="C73" s="567">
        <v>0</v>
      </c>
      <c r="D73" s="569">
        <v>0</v>
      </c>
      <c r="E73" s="733">
        <f t="shared" si="2"/>
        <v>0</v>
      </c>
      <c r="F73" s="739">
        <f t="shared" si="1"/>
        <v>104000</v>
      </c>
      <c r="G73" s="1047" t="s">
        <v>334</v>
      </c>
      <c r="H73" s="1048"/>
      <c r="I73" s="1048"/>
      <c r="J73" s="1048"/>
      <c r="K73" s="1048"/>
      <c r="L73" s="1048"/>
      <c r="M73" s="1048"/>
      <c r="N73" s="1048"/>
      <c r="O73" s="1048"/>
      <c r="P73" s="1049"/>
    </row>
    <row r="74" spans="1:16" ht="20.25" customHeight="1" x14ac:dyDescent="0.2">
      <c r="A74" s="752" t="s">
        <v>57</v>
      </c>
      <c r="B74" s="567">
        <v>0</v>
      </c>
      <c r="C74" s="567"/>
      <c r="D74" s="569"/>
      <c r="E74" s="733"/>
      <c r="F74" s="739"/>
      <c r="G74" s="1080"/>
      <c r="H74" s="1081"/>
      <c r="I74" s="1081"/>
      <c r="J74" s="1081"/>
      <c r="K74" s="1081"/>
      <c r="L74" s="1081"/>
      <c r="M74" s="1081"/>
      <c r="N74" s="1081"/>
      <c r="O74" s="1081"/>
      <c r="P74" s="1082"/>
    </row>
    <row r="75" spans="1:16" ht="19.899999999999999" customHeight="1" x14ac:dyDescent="0.2">
      <c r="A75" s="753" t="s">
        <v>193</v>
      </c>
      <c r="B75" s="567">
        <v>0</v>
      </c>
      <c r="C75" s="567">
        <v>7796</v>
      </c>
      <c r="D75" s="569">
        <v>45</v>
      </c>
      <c r="E75" s="733">
        <f t="shared" si="2"/>
        <v>350820</v>
      </c>
      <c r="F75" s="740">
        <f t="shared" si="1"/>
        <v>350820</v>
      </c>
      <c r="G75" s="1047" t="s">
        <v>335</v>
      </c>
      <c r="H75" s="1048"/>
      <c r="I75" s="1048"/>
      <c r="J75" s="1048"/>
      <c r="K75" s="1048"/>
      <c r="L75" s="1048"/>
      <c r="M75" s="1048"/>
      <c r="N75" s="1048"/>
      <c r="O75" s="1048"/>
      <c r="P75" s="1049"/>
    </row>
    <row r="76" spans="1:16" ht="20.25" customHeight="1" x14ac:dyDescent="0.2">
      <c r="A76" s="748" t="s">
        <v>194</v>
      </c>
      <c r="B76" s="567">
        <v>768000</v>
      </c>
      <c r="C76" s="567">
        <v>0</v>
      </c>
      <c r="D76" s="569">
        <v>0</v>
      </c>
      <c r="E76" s="733">
        <f t="shared" si="2"/>
        <v>0</v>
      </c>
      <c r="F76" s="739">
        <f t="shared" si="1"/>
        <v>768000</v>
      </c>
      <c r="G76" s="1047" t="s">
        <v>355</v>
      </c>
      <c r="H76" s="1048"/>
      <c r="I76" s="1048"/>
      <c r="J76" s="1048"/>
      <c r="K76" s="1048"/>
      <c r="L76" s="1048"/>
      <c r="M76" s="1048"/>
      <c r="N76" s="1048"/>
      <c r="O76" s="1048"/>
      <c r="P76" s="1049"/>
    </row>
    <row r="77" spans="1:16" ht="19.899999999999999" customHeight="1" x14ac:dyDescent="0.2">
      <c r="A77" s="754" t="s">
        <v>321</v>
      </c>
      <c r="B77" s="567">
        <v>0</v>
      </c>
      <c r="C77" s="567">
        <v>1034</v>
      </c>
      <c r="D77" s="569">
        <v>450</v>
      </c>
      <c r="E77" s="733">
        <f t="shared" si="2"/>
        <v>465300</v>
      </c>
      <c r="F77" s="741">
        <f t="shared" si="1"/>
        <v>465300</v>
      </c>
      <c r="G77" s="1047" t="s">
        <v>340</v>
      </c>
      <c r="H77" s="1048"/>
      <c r="I77" s="1048"/>
      <c r="J77" s="1048"/>
      <c r="K77" s="1048"/>
      <c r="L77" s="1048"/>
      <c r="M77" s="1048"/>
      <c r="N77" s="1048"/>
      <c r="O77" s="1048"/>
      <c r="P77" s="1049"/>
    </row>
    <row r="78" spans="1:16" ht="17.649999999999999" customHeight="1" x14ac:dyDescent="0.2">
      <c r="A78" s="732" t="s">
        <v>99</v>
      </c>
      <c r="B78" s="567">
        <v>0</v>
      </c>
      <c r="C78" s="567">
        <v>0</v>
      </c>
      <c r="D78" s="569">
        <v>0</v>
      </c>
      <c r="E78" s="733">
        <f t="shared" si="2"/>
        <v>0</v>
      </c>
      <c r="F78" s="739">
        <f t="shared" si="1"/>
        <v>0</v>
      </c>
      <c r="G78" s="1076"/>
      <c r="H78" s="1077"/>
      <c r="I78" s="1077"/>
      <c r="J78" s="1077"/>
      <c r="K78" s="1077"/>
      <c r="L78" s="1077"/>
      <c r="M78" s="1077"/>
      <c r="N78" s="1077"/>
      <c r="O78" s="1077"/>
      <c r="P78" s="1078"/>
    </row>
    <row r="79" spans="1:16" ht="15.75" customHeight="1" x14ac:dyDescent="0.2">
      <c r="A79" s="732" t="s">
        <v>100</v>
      </c>
      <c r="B79" s="567">
        <v>0</v>
      </c>
      <c r="C79" s="567">
        <v>0</v>
      </c>
      <c r="D79" s="569">
        <v>0</v>
      </c>
      <c r="E79" s="733">
        <f t="shared" si="2"/>
        <v>0</v>
      </c>
      <c r="F79" s="739">
        <f t="shared" si="1"/>
        <v>0</v>
      </c>
      <c r="G79" s="1059"/>
      <c r="H79" s="1060"/>
      <c r="I79" s="1060"/>
      <c r="J79" s="1060"/>
      <c r="K79" s="1060"/>
      <c r="L79" s="1060"/>
      <c r="M79" s="1060"/>
      <c r="N79" s="1060"/>
      <c r="O79" s="1060"/>
      <c r="P79" s="1061"/>
    </row>
    <row r="80" spans="1:16" ht="18.75" customHeight="1" x14ac:dyDescent="0.2">
      <c r="A80" s="732" t="s">
        <v>195</v>
      </c>
      <c r="B80" s="567">
        <v>57384</v>
      </c>
      <c r="C80" s="567">
        <v>0</v>
      </c>
      <c r="D80" s="569">
        <v>0</v>
      </c>
      <c r="E80" s="733">
        <f t="shared" si="2"/>
        <v>0</v>
      </c>
      <c r="F80" s="739">
        <f t="shared" si="1"/>
        <v>57384</v>
      </c>
      <c r="G80" s="1047" t="s">
        <v>361</v>
      </c>
      <c r="H80" s="1048"/>
      <c r="I80" s="1048"/>
      <c r="J80" s="1048"/>
      <c r="K80" s="1048"/>
      <c r="L80" s="1048"/>
      <c r="M80" s="1048"/>
      <c r="N80" s="1048"/>
      <c r="O80" s="1048"/>
      <c r="P80" s="1049"/>
    </row>
    <row r="81" spans="1:16" ht="18.75" customHeight="1" x14ac:dyDescent="0.2">
      <c r="A81" s="732" t="s">
        <v>342</v>
      </c>
      <c r="B81" s="567">
        <v>734515</v>
      </c>
      <c r="C81" s="567"/>
      <c r="D81" s="569"/>
      <c r="E81" s="733"/>
      <c r="F81" s="739"/>
      <c r="G81" s="755" t="s">
        <v>360</v>
      </c>
      <c r="H81" s="756"/>
      <c r="I81" s="756"/>
      <c r="J81" s="756"/>
      <c r="K81" s="756"/>
      <c r="L81" s="756"/>
      <c r="M81" s="756"/>
      <c r="N81" s="756"/>
      <c r="O81" s="756"/>
      <c r="P81" s="757"/>
    </row>
    <row r="82" spans="1:16" ht="15.75" customHeight="1" x14ac:dyDescent="0.2">
      <c r="A82" s="732" t="s">
        <v>102</v>
      </c>
      <c r="B82" s="567">
        <v>56000</v>
      </c>
      <c r="C82" s="567">
        <v>0</v>
      </c>
      <c r="D82" s="569">
        <v>0</v>
      </c>
      <c r="E82" s="733">
        <f t="shared" si="2"/>
        <v>0</v>
      </c>
      <c r="F82" s="739">
        <f t="shared" si="1"/>
        <v>56000</v>
      </c>
      <c r="G82" s="1044" t="s">
        <v>345</v>
      </c>
      <c r="H82" s="1045"/>
      <c r="I82" s="1045"/>
      <c r="J82" s="1045"/>
      <c r="K82" s="1045"/>
      <c r="L82" s="1045"/>
      <c r="M82" s="1045"/>
      <c r="N82" s="1045"/>
      <c r="O82" s="1045"/>
      <c r="P82" s="1046"/>
    </row>
    <row r="83" spans="1:16" ht="15.75" customHeight="1" x14ac:dyDescent="0.2">
      <c r="A83" s="412" t="s">
        <v>191</v>
      </c>
      <c r="B83" s="567">
        <v>288000</v>
      </c>
      <c r="C83" s="567"/>
      <c r="D83" s="569"/>
      <c r="E83" s="733"/>
      <c r="F83" s="739"/>
      <c r="G83" s="764" t="s">
        <v>349</v>
      </c>
      <c r="H83" s="765"/>
      <c r="I83" s="765"/>
      <c r="J83" s="765"/>
      <c r="K83" s="765"/>
      <c r="L83" s="765"/>
      <c r="M83" s="765"/>
      <c r="N83" s="765"/>
      <c r="O83" s="765"/>
      <c r="P83" s="766"/>
    </row>
    <row r="84" spans="1:16" ht="16.899999999999999" customHeight="1" x14ac:dyDescent="0.2">
      <c r="A84" s="732" t="s">
        <v>196</v>
      </c>
      <c r="B84" s="567">
        <v>756800</v>
      </c>
      <c r="C84" s="567">
        <v>0</v>
      </c>
      <c r="D84" s="569">
        <v>0</v>
      </c>
      <c r="E84" s="733">
        <f t="shared" si="2"/>
        <v>0</v>
      </c>
      <c r="F84" s="739">
        <f t="shared" si="1"/>
        <v>756800</v>
      </c>
      <c r="G84" s="1044" t="s">
        <v>359</v>
      </c>
      <c r="H84" s="1045"/>
      <c r="I84" s="1045"/>
      <c r="J84" s="1045"/>
      <c r="K84" s="1045"/>
      <c r="L84" s="1045"/>
      <c r="M84" s="1045"/>
      <c r="N84" s="1045"/>
      <c r="O84" s="1045"/>
      <c r="P84" s="1046"/>
    </row>
    <row r="89" spans="1:16" ht="18" x14ac:dyDescent="0.25">
      <c r="A89" s="742" t="s">
        <v>319</v>
      </c>
      <c r="B89" s="743"/>
      <c r="C89" s="743"/>
      <c r="D89" s="743"/>
      <c r="E89" s="743"/>
      <c r="F89" s="743"/>
      <c r="G89" s="744"/>
      <c r="H89" s="745"/>
      <c r="I89" s="746"/>
      <c r="J89" s="745"/>
      <c r="K89" s="747"/>
      <c r="L89" s="747"/>
      <c r="M89" s="747"/>
      <c r="N89" s="747"/>
      <c r="O89" s="746"/>
      <c r="P89" s="746"/>
    </row>
    <row r="90" spans="1:16" hidden="1" x14ac:dyDescent="0.2"/>
    <row r="91" spans="1:16" x14ac:dyDescent="0.2">
      <c r="A91" s="1062" t="s">
        <v>76</v>
      </c>
      <c r="B91" s="1064" t="s">
        <v>77</v>
      </c>
      <c r="C91" s="1065" t="s">
        <v>78</v>
      </c>
      <c r="D91" s="1065"/>
      <c r="E91" s="1065"/>
      <c r="F91" s="1066" t="s">
        <v>245</v>
      </c>
      <c r="G91" s="728"/>
    </row>
    <row r="92" spans="1:16" ht="38.25" x14ac:dyDescent="0.2">
      <c r="A92" s="1063"/>
      <c r="B92" s="1064"/>
      <c r="C92" s="729" t="s">
        <v>67</v>
      </c>
      <c r="D92" s="730" t="s">
        <v>68</v>
      </c>
      <c r="E92" s="758" t="s">
        <v>6</v>
      </c>
      <c r="F92" s="903"/>
      <c r="G92" s="728"/>
    </row>
    <row r="93" spans="1:16" s="779" customFormat="1" ht="12.75" customHeight="1" x14ac:dyDescent="0.2">
      <c r="A93" s="774" t="s">
        <v>95</v>
      </c>
      <c r="B93" s="775">
        <v>16853854</v>
      </c>
      <c r="C93" s="776">
        <v>0</v>
      </c>
      <c r="D93" s="777">
        <v>0</v>
      </c>
      <c r="E93" s="778">
        <f>C93*D93</f>
        <v>0</v>
      </c>
      <c r="F93" s="775">
        <f>+B93</f>
        <v>16853854</v>
      </c>
      <c r="G93" s="1086" t="s">
        <v>372</v>
      </c>
      <c r="H93" s="1087"/>
      <c r="I93" s="1087"/>
      <c r="J93" s="1087"/>
      <c r="K93" s="1087"/>
      <c r="L93" s="1087"/>
      <c r="M93" s="1087"/>
      <c r="N93" s="1087"/>
      <c r="O93" s="1087"/>
      <c r="P93" s="1087"/>
    </row>
    <row r="94" spans="1:16" s="779" customFormat="1" x14ac:dyDescent="0.2">
      <c r="A94" s="774" t="s">
        <v>320</v>
      </c>
      <c r="B94" s="780">
        <v>8950885</v>
      </c>
      <c r="C94" s="780">
        <v>0</v>
      </c>
      <c r="D94" s="781">
        <v>0</v>
      </c>
      <c r="E94" s="778">
        <v>0</v>
      </c>
      <c r="F94" s="788">
        <f>+B94</f>
        <v>8950885</v>
      </c>
      <c r="G94" s="1088" t="s">
        <v>374</v>
      </c>
      <c r="H94" s="1089"/>
      <c r="I94" s="1089"/>
      <c r="J94" s="1089"/>
      <c r="K94" s="1089"/>
      <c r="L94" s="1089"/>
      <c r="M94" s="1089"/>
      <c r="N94" s="1089"/>
      <c r="O94" s="1089"/>
      <c r="P94" s="1086"/>
    </row>
    <row r="95" spans="1:16" s="779" customFormat="1" x14ac:dyDescent="0.2">
      <c r="A95" s="782" t="s">
        <v>175</v>
      </c>
      <c r="B95" s="780">
        <v>235540</v>
      </c>
      <c r="C95" s="780">
        <v>0</v>
      </c>
      <c r="D95" s="781">
        <v>0</v>
      </c>
      <c r="E95" s="778">
        <v>0</v>
      </c>
      <c r="F95" s="788">
        <f>+B95</f>
        <v>235540</v>
      </c>
      <c r="G95" s="1083" t="s">
        <v>373</v>
      </c>
      <c r="H95" s="1084"/>
      <c r="I95" s="1084"/>
      <c r="J95" s="1084"/>
      <c r="K95" s="1084"/>
      <c r="L95" s="1084"/>
      <c r="M95" s="1084"/>
      <c r="N95" s="1084"/>
      <c r="O95" s="1084"/>
      <c r="P95" s="1085"/>
    </row>
    <row r="96" spans="1:16" x14ac:dyDescent="0.2">
      <c r="A96" s="732" t="s">
        <v>176</v>
      </c>
      <c r="B96" s="567">
        <v>0</v>
      </c>
      <c r="C96" s="568">
        <v>0</v>
      </c>
      <c r="D96" s="569">
        <v>0</v>
      </c>
      <c r="E96" s="733">
        <v>0</v>
      </c>
      <c r="F96" s="734">
        <v>0</v>
      </c>
      <c r="G96" s="1053"/>
      <c r="H96" s="1054"/>
      <c r="I96" s="1054"/>
      <c r="J96" s="1054"/>
      <c r="K96" s="1054"/>
      <c r="L96" s="1054"/>
      <c r="M96" s="1054"/>
      <c r="N96" s="1054"/>
      <c r="O96" s="1054"/>
      <c r="P96" s="1055"/>
    </row>
    <row r="97" spans="1:16" x14ac:dyDescent="0.2">
      <c r="A97" s="748" t="s">
        <v>177</v>
      </c>
      <c r="B97" s="567">
        <v>0</v>
      </c>
      <c r="C97" s="568">
        <v>1839</v>
      </c>
      <c r="D97" s="569">
        <v>440</v>
      </c>
      <c r="E97" s="733">
        <v>809160</v>
      </c>
      <c r="F97" s="734">
        <f t="shared" ref="F97:F99" si="3">B97+E97</f>
        <v>809160</v>
      </c>
      <c r="G97" s="1056" t="s">
        <v>364</v>
      </c>
      <c r="H97" s="1057"/>
      <c r="I97" s="1057"/>
      <c r="J97" s="1057"/>
      <c r="K97" s="1057"/>
      <c r="L97" s="1057"/>
      <c r="M97" s="1057"/>
      <c r="N97" s="1057"/>
      <c r="O97" s="1057"/>
      <c r="P97" s="1058"/>
    </row>
    <row r="98" spans="1:16" x14ac:dyDescent="0.2">
      <c r="A98" s="748" t="s">
        <v>178</v>
      </c>
      <c r="B98" s="567">
        <v>0</v>
      </c>
      <c r="C98" s="568">
        <v>1000</v>
      </c>
      <c r="D98" s="569">
        <v>2200</v>
      </c>
      <c r="E98" s="733">
        <f t="shared" ref="E98:E99" si="4">C98*D98</f>
        <v>2200000</v>
      </c>
      <c r="F98" s="734">
        <f t="shared" si="3"/>
        <v>2200000</v>
      </c>
      <c r="G98" s="1047" t="s">
        <v>351</v>
      </c>
      <c r="H98" s="1048"/>
      <c r="I98" s="1048"/>
      <c r="J98" s="1048"/>
      <c r="K98" s="1048"/>
      <c r="L98" s="1048"/>
      <c r="M98" s="1048"/>
      <c r="N98" s="1048"/>
      <c r="O98" s="1048"/>
      <c r="P98" s="1049"/>
    </row>
    <row r="99" spans="1:16" x14ac:dyDescent="0.2">
      <c r="A99" s="748" t="s">
        <v>179</v>
      </c>
      <c r="B99" s="567">
        <v>0</v>
      </c>
      <c r="C99" s="568">
        <v>0</v>
      </c>
      <c r="D99" s="569">
        <v>0</v>
      </c>
      <c r="E99" s="733">
        <f t="shared" si="4"/>
        <v>0</v>
      </c>
      <c r="F99" s="734">
        <f t="shared" si="3"/>
        <v>0</v>
      </c>
      <c r="G99" s="1047"/>
      <c r="H99" s="1048"/>
      <c r="I99" s="1048"/>
      <c r="J99" s="1048"/>
      <c r="K99" s="1048"/>
      <c r="L99" s="1048"/>
      <c r="M99" s="1048"/>
      <c r="N99" s="1048"/>
      <c r="O99" s="1048"/>
      <c r="P99" s="1049"/>
    </row>
    <row r="100" spans="1:16" x14ac:dyDescent="0.2">
      <c r="A100" s="748" t="s">
        <v>336</v>
      </c>
      <c r="B100" s="567">
        <v>1156472</v>
      </c>
      <c r="C100" s="568"/>
      <c r="D100" s="569"/>
      <c r="E100" s="733"/>
      <c r="F100" s="734"/>
      <c r="G100" s="769" t="s">
        <v>350</v>
      </c>
      <c r="H100" s="770"/>
      <c r="I100" s="770"/>
      <c r="J100" s="770"/>
      <c r="K100" s="770"/>
      <c r="L100" s="770"/>
      <c r="M100" s="770"/>
      <c r="N100" s="770"/>
      <c r="O100" s="770"/>
      <c r="P100" s="771"/>
    </row>
    <row r="101" spans="1:16" x14ac:dyDescent="0.2">
      <c r="A101" s="748" t="s">
        <v>41</v>
      </c>
      <c r="B101" s="567">
        <v>159600</v>
      </c>
      <c r="C101" s="568"/>
      <c r="D101" s="569"/>
      <c r="E101" s="733"/>
      <c r="F101" s="734"/>
      <c r="G101" s="761" t="s">
        <v>348</v>
      </c>
      <c r="H101" s="762"/>
      <c r="I101" s="762"/>
      <c r="J101" s="762"/>
      <c r="K101" s="762"/>
      <c r="L101" s="762"/>
      <c r="M101" s="762"/>
      <c r="N101" s="762"/>
      <c r="O101" s="762"/>
      <c r="P101" s="763"/>
    </row>
    <row r="102" spans="1:16" x14ac:dyDescent="0.2">
      <c r="A102" s="748" t="s">
        <v>341</v>
      </c>
      <c r="B102" s="567">
        <v>14160</v>
      </c>
      <c r="C102" s="568"/>
      <c r="D102" s="569"/>
      <c r="E102" s="733"/>
      <c r="F102" s="734"/>
      <c r="G102" s="761" t="s">
        <v>352</v>
      </c>
      <c r="H102" s="762"/>
      <c r="I102" s="762"/>
      <c r="J102" s="762"/>
      <c r="K102" s="762"/>
      <c r="L102" s="762"/>
      <c r="M102" s="762"/>
      <c r="N102" s="762"/>
      <c r="O102" s="762"/>
      <c r="P102" s="763"/>
    </row>
    <row r="103" spans="1:16" ht="25.5" x14ac:dyDescent="0.2">
      <c r="A103" s="748" t="s">
        <v>180</v>
      </c>
      <c r="B103" s="567">
        <v>20000</v>
      </c>
      <c r="C103" s="568">
        <v>0</v>
      </c>
      <c r="D103" s="569">
        <v>0</v>
      </c>
      <c r="E103" s="733">
        <f t="shared" ref="E103:E104" si="5">C103*D103</f>
        <v>0</v>
      </c>
      <c r="F103" s="734">
        <f t="shared" ref="F103:F104" si="6">B103+E103</f>
        <v>20000</v>
      </c>
      <c r="G103" s="76" t="s">
        <v>353</v>
      </c>
      <c r="H103" s="762"/>
      <c r="I103" s="762"/>
      <c r="J103" s="762"/>
      <c r="K103" s="762"/>
      <c r="L103" s="762"/>
      <c r="M103" s="762"/>
      <c r="N103" s="762"/>
      <c r="O103" s="762"/>
      <c r="P103" s="763"/>
    </row>
    <row r="104" spans="1:16" x14ac:dyDescent="0.2">
      <c r="A104" s="748" t="s">
        <v>19</v>
      </c>
      <c r="B104" s="567">
        <v>20000</v>
      </c>
      <c r="C104" s="568">
        <v>0</v>
      </c>
      <c r="D104" s="569">
        <v>0</v>
      </c>
      <c r="E104" s="733">
        <f t="shared" si="5"/>
        <v>0</v>
      </c>
      <c r="F104" s="734">
        <f t="shared" si="6"/>
        <v>20000</v>
      </c>
      <c r="G104" s="1047" t="s">
        <v>316</v>
      </c>
      <c r="H104" s="1048"/>
      <c r="I104" s="1048"/>
      <c r="J104" s="1048"/>
      <c r="K104" s="1048"/>
      <c r="L104" s="1048"/>
      <c r="M104" s="1048"/>
      <c r="N104" s="1048"/>
      <c r="O104" s="1048"/>
      <c r="P104" s="1049"/>
    </row>
    <row r="105" spans="1:16" x14ac:dyDescent="0.2">
      <c r="A105" s="748" t="s">
        <v>337</v>
      </c>
      <c r="B105" s="567">
        <v>5200</v>
      </c>
      <c r="C105" s="568"/>
      <c r="D105" s="569"/>
      <c r="E105" s="733"/>
      <c r="F105" s="734"/>
    </row>
    <row r="106" spans="1:16" x14ac:dyDescent="0.2">
      <c r="A106" s="748" t="s">
        <v>327</v>
      </c>
      <c r="B106" s="567">
        <v>59976</v>
      </c>
      <c r="C106" s="568"/>
      <c r="D106" s="569"/>
      <c r="E106" s="733"/>
      <c r="F106" s="734">
        <f>+B106</f>
        <v>59976</v>
      </c>
      <c r="G106" s="761" t="s">
        <v>317</v>
      </c>
      <c r="H106" s="762"/>
      <c r="I106" s="762"/>
      <c r="J106" s="762"/>
      <c r="K106" s="762"/>
      <c r="L106" s="762"/>
      <c r="M106" s="762"/>
      <c r="N106" s="762"/>
      <c r="O106" s="762"/>
      <c r="P106" s="763"/>
    </row>
    <row r="107" spans="1:16" x14ac:dyDescent="0.2">
      <c r="A107" s="732" t="s">
        <v>24</v>
      </c>
      <c r="B107" s="567">
        <v>257472</v>
      </c>
      <c r="C107" s="568">
        <v>0</v>
      </c>
      <c r="D107" s="569">
        <v>0</v>
      </c>
      <c r="E107" s="733">
        <f t="shared" ref="E107:E111" si="7">C107*D107</f>
        <v>0</v>
      </c>
      <c r="F107" s="734">
        <f t="shared" ref="F107:F110" si="8">B107+E107</f>
        <v>257472</v>
      </c>
      <c r="G107" s="761" t="s">
        <v>347</v>
      </c>
      <c r="H107" s="762"/>
      <c r="I107" s="762"/>
      <c r="J107" s="762"/>
      <c r="K107" s="762"/>
      <c r="L107" s="762"/>
      <c r="M107" s="762"/>
      <c r="N107" s="762"/>
      <c r="O107" s="762"/>
      <c r="P107" s="763"/>
    </row>
    <row r="108" spans="1:16" x14ac:dyDescent="0.2">
      <c r="A108" s="732" t="s">
        <v>25</v>
      </c>
      <c r="B108" s="567">
        <v>285101</v>
      </c>
      <c r="C108" s="568">
        <v>0</v>
      </c>
      <c r="D108" s="569">
        <v>0</v>
      </c>
      <c r="E108" s="733">
        <f t="shared" si="7"/>
        <v>0</v>
      </c>
      <c r="F108" s="734">
        <f t="shared" si="8"/>
        <v>285101</v>
      </c>
      <c r="G108" s="761" t="s">
        <v>346</v>
      </c>
      <c r="H108" s="762"/>
      <c r="I108" s="762"/>
      <c r="J108" s="762"/>
      <c r="K108" s="762"/>
      <c r="L108" s="762"/>
      <c r="M108" s="762"/>
      <c r="N108" s="762"/>
      <c r="O108" s="762"/>
      <c r="P108" s="763"/>
    </row>
    <row r="109" spans="1:16" x14ac:dyDescent="0.2">
      <c r="A109" s="732" t="s">
        <v>26</v>
      </c>
      <c r="B109" s="567">
        <v>232070</v>
      </c>
      <c r="C109" s="568">
        <v>0</v>
      </c>
      <c r="D109" s="569">
        <v>0</v>
      </c>
      <c r="E109" s="733">
        <f t="shared" si="7"/>
        <v>0</v>
      </c>
      <c r="F109" s="734">
        <f t="shared" si="8"/>
        <v>232070</v>
      </c>
      <c r="G109" s="1047" t="s">
        <v>347</v>
      </c>
      <c r="H109" s="1048"/>
      <c r="I109" s="1048"/>
      <c r="J109" s="1048"/>
      <c r="K109" s="1048"/>
      <c r="L109" s="1048"/>
      <c r="M109" s="1048"/>
      <c r="N109" s="1048"/>
      <c r="O109" s="1048"/>
      <c r="P109" s="1049"/>
    </row>
    <row r="110" spans="1:16" ht="25.5" x14ac:dyDescent="0.2">
      <c r="A110" s="732" t="s">
        <v>185</v>
      </c>
      <c r="B110" s="567">
        <v>409064</v>
      </c>
      <c r="C110" s="568"/>
      <c r="D110" s="569"/>
      <c r="E110" s="733">
        <f t="shared" si="7"/>
        <v>0</v>
      </c>
      <c r="F110" s="734">
        <f t="shared" si="8"/>
        <v>409064</v>
      </c>
    </row>
    <row r="111" spans="1:16" x14ac:dyDescent="0.2">
      <c r="A111" s="732" t="s">
        <v>186</v>
      </c>
      <c r="B111" s="567"/>
      <c r="C111" s="568">
        <v>0</v>
      </c>
      <c r="D111" s="569">
        <v>0</v>
      </c>
      <c r="E111" s="733">
        <f t="shared" si="7"/>
        <v>0</v>
      </c>
      <c r="F111" s="734"/>
      <c r="G111" s="1047"/>
      <c r="H111" s="1048"/>
      <c r="I111" s="1048"/>
      <c r="J111" s="1048"/>
      <c r="K111" s="1048"/>
      <c r="L111" s="1048"/>
      <c r="M111" s="1048"/>
      <c r="N111" s="1048"/>
      <c r="O111" s="1048"/>
      <c r="P111" s="1049"/>
    </row>
    <row r="112" spans="1:16" x14ac:dyDescent="0.2">
      <c r="A112" s="732" t="s">
        <v>187</v>
      </c>
      <c r="B112" s="567"/>
      <c r="C112" s="568">
        <v>20000</v>
      </c>
      <c r="D112" s="569">
        <v>4</v>
      </c>
      <c r="E112" s="733">
        <f>C112*D112</f>
        <v>80000</v>
      </c>
      <c r="F112" s="734">
        <f t="shared" ref="F112:F113" si="9">B112+E112</f>
        <v>80000</v>
      </c>
      <c r="G112" s="1044" t="s">
        <v>365</v>
      </c>
      <c r="H112" s="1045"/>
      <c r="I112" s="1045"/>
      <c r="J112" s="1045"/>
      <c r="K112" s="1045"/>
      <c r="L112" s="1045"/>
      <c r="M112" s="1045"/>
      <c r="N112" s="1045"/>
      <c r="O112" s="1045"/>
      <c r="P112" s="1046"/>
    </row>
    <row r="113" spans="1:16" x14ac:dyDescent="0.2">
      <c r="A113" s="732" t="s">
        <v>188</v>
      </c>
      <c r="B113" s="567"/>
      <c r="C113" s="568">
        <v>24990</v>
      </c>
      <c r="D113" s="569">
        <v>1</v>
      </c>
      <c r="E113" s="733">
        <f>C113*D113</f>
        <v>24990</v>
      </c>
      <c r="F113" s="734">
        <f t="shared" si="9"/>
        <v>24990</v>
      </c>
      <c r="G113" s="1059" t="s">
        <v>318</v>
      </c>
      <c r="H113" s="1060"/>
      <c r="I113" s="1060"/>
      <c r="J113" s="1060"/>
      <c r="K113" s="1060"/>
      <c r="L113" s="1060"/>
      <c r="M113" s="1060"/>
      <c r="N113" s="1060"/>
      <c r="O113" s="1060"/>
      <c r="P113" s="1061"/>
    </row>
    <row r="114" spans="1:16" ht="25.5" x14ac:dyDescent="0.2">
      <c r="A114" s="749" t="s">
        <v>328</v>
      </c>
      <c r="B114" s="567"/>
      <c r="C114" s="568">
        <v>0</v>
      </c>
      <c r="D114" s="569">
        <v>0</v>
      </c>
      <c r="E114" s="733">
        <f t="shared" ref="E114:E115" si="10">C114*D114</f>
        <v>0</v>
      </c>
      <c r="F114" s="738"/>
    </row>
    <row r="115" spans="1:16" x14ac:dyDescent="0.2">
      <c r="A115" s="750" t="s">
        <v>51</v>
      </c>
      <c r="B115" s="567">
        <v>50000</v>
      </c>
      <c r="C115" s="567">
        <v>0</v>
      </c>
      <c r="D115" s="569">
        <v>0</v>
      </c>
      <c r="E115" s="733">
        <f t="shared" si="10"/>
        <v>0</v>
      </c>
      <c r="F115" s="739">
        <f t="shared" ref="F115" si="11">B115+E115</f>
        <v>50000</v>
      </c>
      <c r="G115" s="1047" t="s">
        <v>332</v>
      </c>
      <c r="H115" s="1048"/>
      <c r="I115" s="1048"/>
      <c r="J115" s="1048"/>
      <c r="K115" s="1048"/>
      <c r="L115" s="1048"/>
      <c r="M115" s="1048"/>
      <c r="N115" s="1048"/>
      <c r="O115" s="1048"/>
      <c r="P115" s="1049"/>
    </row>
    <row r="116" spans="1:16" x14ac:dyDescent="0.2">
      <c r="A116" s="750" t="s">
        <v>338</v>
      </c>
      <c r="B116" s="567">
        <v>904774</v>
      </c>
      <c r="C116" s="567"/>
      <c r="D116" s="569"/>
      <c r="E116" s="733"/>
      <c r="F116" s="739"/>
      <c r="G116" s="759"/>
      <c r="H116" s="759" t="s">
        <v>357</v>
      </c>
      <c r="I116" s="759"/>
      <c r="J116" s="759"/>
      <c r="K116" s="759"/>
      <c r="L116" s="759"/>
      <c r="M116" s="759"/>
      <c r="N116" s="759"/>
      <c r="O116" s="759"/>
      <c r="P116" s="760"/>
    </row>
    <row r="117" spans="1:16" x14ac:dyDescent="0.2">
      <c r="A117" s="732" t="s">
        <v>47</v>
      </c>
      <c r="B117" s="567">
        <v>200000</v>
      </c>
      <c r="C117" s="567">
        <v>0</v>
      </c>
      <c r="D117" s="569">
        <v>0</v>
      </c>
      <c r="E117" s="733">
        <f t="shared" ref="E117:E119" si="12">C117*D117</f>
        <v>0</v>
      </c>
      <c r="F117" s="739">
        <f t="shared" ref="F117" si="13">B117+E117</f>
        <v>200000</v>
      </c>
      <c r="G117" s="1079" t="s">
        <v>333</v>
      </c>
      <c r="H117" s="1048"/>
      <c r="I117" s="1048"/>
      <c r="J117" s="1048"/>
      <c r="K117" s="1048"/>
      <c r="L117" s="1048"/>
      <c r="M117" s="1048"/>
      <c r="N117" s="1048"/>
      <c r="O117" s="1048"/>
      <c r="P117" s="1049"/>
    </row>
    <row r="118" spans="1:16" x14ac:dyDescent="0.2">
      <c r="A118" s="751" t="s">
        <v>52</v>
      </c>
      <c r="B118" s="567"/>
      <c r="C118" s="567">
        <v>0</v>
      </c>
      <c r="D118" s="569">
        <v>0</v>
      </c>
      <c r="E118" s="733">
        <f t="shared" si="12"/>
        <v>0</v>
      </c>
      <c r="F118" s="740"/>
    </row>
    <row r="119" spans="1:16" x14ac:dyDescent="0.2">
      <c r="A119" s="732" t="s">
        <v>190</v>
      </c>
      <c r="B119" s="567">
        <v>26000</v>
      </c>
      <c r="C119" s="567">
        <v>0</v>
      </c>
      <c r="D119" s="569">
        <v>0</v>
      </c>
      <c r="E119" s="733">
        <f t="shared" si="12"/>
        <v>0</v>
      </c>
      <c r="F119" s="739">
        <f t="shared" ref="F119" si="14">B119+E119</f>
        <v>26000</v>
      </c>
      <c r="G119" s="1047" t="s">
        <v>334</v>
      </c>
      <c r="H119" s="1048"/>
      <c r="I119" s="1048"/>
      <c r="J119" s="1048"/>
      <c r="K119" s="1048"/>
      <c r="L119" s="1048"/>
      <c r="M119" s="1048"/>
      <c r="N119" s="1048"/>
      <c r="O119" s="1048"/>
      <c r="P119" s="1049"/>
    </row>
    <row r="120" spans="1:16" x14ac:dyDescent="0.2">
      <c r="A120" s="752" t="s">
        <v>57</v>
      </c>
      <c r="B120" s="567">
        <v>0</v>
      </c>
      <c r="C120" s="567"/>
      <c r="D120" s="569"/>
      <c r="E120" s="733"/>
      <c r="F120" s="739"/>
    </row>
    <row r="121" spans="1:16" x14ac:dyDescent="0.2">
      <c r="A121" s="753" t="s">
        <v>193</v>
      </c>
      <c r="B121" s="567">
        <v>0</v>
      </c>
      <c r="C121" s="567">
        <v>7796</v>
      </c>
      <c r="D121" s="569">
        <v>45</v>
      </c>
      <c r="E121" s="733">
        <f t="shared" ref="E121:E126" si="15">C121*D121</f>
        <v>350820</v>
      </c>
      <c r="F121" s="740">
        <f t="shared" ref="F121:F126" si="16">B121+E121</f>
        <v>350820</v>
      </c>
      <c r="G121" s="1047" t="s">
        <v>335</v>
      </c>
      <c r="H121" s="1048"/>
      <c r="I121" s="1048"/>
      <c r="J121" s="1048"/>
      <c r="K121" s="1048"/>
      <c r="L121" s="1048"/>
      <c r="M121" s="1048"/>
      <c r="N121" s="1048"/>
      <c r="O121" s="1048"/>
      <c r="P121" s="1049"/>
    </row>
    <row r="122" spans="1:16" x14ac:dyDescent="0.2">
      <c r="A122" s="748" t="s">
        <v>194</v>
      </c>
      <c r="B122" s="567">
        <v>152000</v>
      </c>
      <c r="C122" s="567">
        <v>0</v>
      </c>
      <c r="D122" s="569">
        <v>0</v>
      </c>
      <c r="E122" s="733">
        <f t="shared" si="15"/>
        <v>0</v>
      </c>
      <c r="F122" s="739">
        <f t="shared" si="16"/>
        <v>152000</v>
      </c>
      <c r="G122" s="1047" t="s">
        <v>339</v>
      </c>
      <c r="H122" s="1048"/>
      <c r="I122" s="1048"/>
      <c r="J122" s="1048"/>
      <c r="K122" s="1048"/>
      <c r="L122" s="1048"/>
      <c r="M122" s="1048"/>
      <c r="N122" s="1048"/>
      <c r="O122" s="1048"/>
      <c r="P122" s="1049"/>
    </row>
    <row r="123" spans="1:16" x14ac:dyDescent="0.2">
      <c r="A123" s="754" t="s">
        <v>321</v>
      </c>
      <c r="B123" s="567">
        <v>0</v>
      </c>
      <c r="C123" s="567">
        <v>0</v>
      </c>
      <c r="D123" s="569">
        <v>0</v>
      </c>
      <c r="E123" s="733">
        <f t="shared" si="15"/>
        <v>0</v>
      </c>
      <c r="F123" s="741">
        <f t="shared" si="16"/>
        <v>0</v>
      </c>
    </row>
    <row r="124" spans="1:16" x14ac:dyDescent="0.2">
      <c r="A124" s="732" t="s">
        <v>99</v>
      </c>
      <c r="B124" s="567">
        <v>0</v>
      </c>
      <c r="C124" s="567">
        <v>0</v>
      </c>
      <c r="D124" s="569">
        <v>0</v>
      </c>
      <c r="E124" s="733">
        <f t="shared" si="15"/>
        <v>0</v>
      </c>
      <c r="F124" s="739">
        <f t="shared" si="16"/>
        <v>0</v>
      </c>
      <c r="G124" s="1047"/>
      <c r="H124" s="1048"/>
      <c r="I124" s="1048"/>
      <c r="J124" s="1048"/>
      <c r="K124" s="1048"/>
      <c r="L124" s="1048"/>
      <c r="M124" s="1048"/>
      <c r="N124" s="1048"/>
      <c r="O124" s="1048"/>
      <c r="P124" s="1049"/>
    </row>
    <row r="125" spans="1:16" x14ac:dyDescent="0.2">
      <c r="A125" s="732" t="s">
        <v>100</v>
      </c>
      <c r="B125" s="567">
        <v>0</v>
      </c>
      <c r="C125" s="567">
        <v>0</v>
      </c>
      <c r="D125" s="569">
        <v>0</v>
      </c>
      <c r="E125" s="733">
        <f t="shared" si="15"/>
        <v>0</v>
      </c>
      <c r="F125" s="739">
        <f t="shared" si="16"/>
        <v>0</v>
      </c>
      <c r="G125" s="1076"/>
      <c r="H125" s="1077"/>
      <c r="I125" s="1077"/>
      <c r="J125" s="1077"/>
      <c r="K125" s="1077"/>
      <c r="L125" s="1077"/>
      <c r="M125" s="1077"/>
      <c r="N125" s="1077"/>
      <c r="O125" s="1077"/>
      <c r="P125" s="1078"/>
    </row>
    <row r="126" spans="1:16" x14ac:dyDescent="0.2">
      <c r="A126" s="732" t="s">
        <v>195</v>
      </c>
      <c r="B126" s="567">
        <v>14346</v>
      </c>
      <c r="C126" s="567">
        <v>0</v>
      </c>
      <c r="D126" s="569">
        <v>0</v>
      </c>
      <c r="E126" s="733">
        <f t="shared" si="15"/>
        <v>0</v>
      </c>
      <c r="F126" s="739">
        <f t="shared" si="16"/>
        <v>14346</v>
      </c>
      <c r="G126" s="1047" t="s">
        <v>358</v>
      </c>
      <c r="H126" s="1048"/>
      <c r="I126" s="1048"/>
      <c r="J126" s="1048"/>
      <c r="K126" s="1048"/>
      <c r="L126" s="1048"/>
      <c r="M126" s="1048"/>
      <c r="N126" s="1048"/>
      <c r="O126" s="1048"/>
      <c r="P126" s="1049"/>
    </row>
    <row r="127" spans="1:16" x14ac:dyDescent="0.2">
      <c r="A127" s="732" t="s">
        <v>342</v>
      </c>
      <c r="B127" s="567">
        <v>183629</v>
      </c>
      <c r="C127" s="567"/>
      <c r="D127" s="569"/>
      <c r="E127" s="733"/>
      <c r="F127" s="739"/>
      <c r="G127" s="761" t="s">
        <v>343</v>
      </c>
      <c r="H127" s="762"/>
      <c r="I127" s="762"/>
      <c r="J127" s="762"/>
    </row>
    <row r="128" spans="1:16" x14ac:dyDescent="0.2">
      <c r="A128" s="732" t="s">
        <v>102</v>
      </c>
      <c r="B128" s="567">
        <v>14000</v>
      </c>
      <c r="C128" s="567">
        <v>0</v>
      </c>
      <c r="D128" s="569">
        <v>0</v>
      </c>
      <c r="E128" s="733">
        <f t="shared" ref="E128:E129" si="17">C128*D128</f>
        <v>0</v>
      </c>
      <c r="F128" s="739">
        <f t="shared" ref="F128:F129" si="18">B128+E128</f>
        <v>14000</v>
      </c>
      <c r="G128" s="1044" t="s">
        <v>345</v>
      </c>
      <c r="H128" s="1045"/>
      <c r="I128" s="1045"/>
      <c r="J128" s="1045"/>
      <c r="K128" s="1045"/>
      <c r="L128" s="1045"/>
      <c r="M128" s="1045"/>
      <c r="N128" s="1045"/>
      <c r="O128" s="1045"/>
      <c r="P128" s="1046"/>
    </row>
    <row r="129" spans="1:16" ht="25.5" x14ac:dyDescent="0.2">
      <c r="A129" s="732" t="s">
        <v>196</v>
      </c>
      <c r="B129" s="567">
        <v>189200</v>
      </c>
      <c r="C129" s="567">
        <v>0</v>
      </c>
      <c r="D129" s="569">
        <v>0</v>
      </c>
      <c r="E129" s="733">
        <f t="shared" si="17"/>
        <v>0</v>
      </c>
      <c r="F129" s="739">
        <f t="shared" si="18"/>
        <v>189200</v>
      </c>
      <c r="G129" s="1044" t="s">
        <v>356</v>
      </c>
      <c r="H129" s="1045"/>
      <c r="I129" s="1045"/>
      <c r="J129" s="1045"/>
      <c r="K129" s="1045"/>
      <c r="L129" s="1045"/>
      <c r="M129" s="1045"/>
      <c r="N129" s="1045"/>
      <c r="O129" s="1045"/>
      <c r="P129" s="1046"/>
    </row>
    <row r="130" spans="1:16" x14ac:dyDescent="0.2">
      <c r="A130" s="412" t="s">
        <v>191</v>
      </c>
      <c r="B130" s="567">
        <v>72000</v>
      </c>
      <c r="C130" s="567">
        <v>0</v>
      </c>
      <c r="D130" s="569">
        <v>0</v>
      </c>
      <c r="E130" s="733">
        <f t="shared" ref="E130" si="19">C130*D130</f>
        <v>0</v>
      </c>
      <c r="F130" s="739">
        <f t="shared" ref="F130" si="20">B130+E130</f>
        <v>72000</v>
      </c>
      <c r="G130" s="768" t="s">
        <v>366</v>
      </c>
      <c r="H130" s="765"/>
      <c r="I130" s="765"/>
      <c r="J130" s="765"/>
      <c r="K130" s="765"/>
      <c r="L130" s="765"/>
      <c r="M130" s="765"/>
      <c r="N130" s="765"/>
      <c r="O130" s="765"/>
      <c r="P130" s="766"/>
    </row>
  </sheetData>
  <mergeCells count="64">
    <mergeCell ref="G119:P119"/>
    <mergeCell ref="G113:P113"/>
    <mergeCell ref="G117:P117"/>
    <mergeCell ref="G115:P115"/>
    <mergeCell ref="G128:P128"/>
    <mergeCell ref="G121:P121"/>
    <mergeCell ref="G122:P122"/>
    <mergeCell ref="G124:P124"/>
    <mergeCell ref="G125:P125"/>
    <mergeCell ref="G126:P126"/>
    <mergeCell ref="G99:P99"/>
    <mergeCell ref="G104:P104"/>
    <mergeCell ref="G109:P109"/>
    <mergeCell ref="G111:P111"/>
    <mergeCell ref="G112:P112"/>
    <mergeCell ref="G95:P95"/>
    <mergeCell ref="G96:P96"/>
    <mergeCell ref="G97:P97"/>
    <mergeCell ref="G98:P98"/>
    <mergeCell ref="G93:P93"/>
    <mergeCell ref="G94:P94"/>
    <mergeCell ref="A91:A92"/>
    <mergeCell ref="B91:B92"/>
    <mergeCell ref="C91:E91"/>
    <mergeCell ref="F91:F92"/>
    <mergeCell ref="G66:P66"/>
    <mergeCell ref="G67:P67"/>
    <mergeCell ref="G82:P82"/>
    <mergeCell ref="G76:P76"/>
    <mergeCell ref="G77:P77"/>
    <mergeCell ref="G78:P78"/>
    <mergeCell ref="G79:P79"/>
    <mergeCell ref="G80:P80"/>
    <mergeCell ref="G71:P71"/>
    <mergeCell ref="G72:P72"/>
    <mergeCell ref="G73:P73"/>
    <mergeCell ref="G74:P74"/>
    <mergeCell ref="G63:P63"/>
    <mergeCell ref="G64:P64"/>
    <mergeCell ref="G48:P48"/>
    <mergeCell ref="G61:P61"/>
    <mergeCell ref="G46:P46"/>
    <mergeCell ref="G47:P47"/>
    <mergeCell ref="A44:A45"/>
    <mergeCell ref="B44:B45"/>
    <mergeCell ref="C44:E44"/>
    <mergeCell ref="F44:F45"/>
    <mergeCell ref="G62:P62"/>
    <mergeCell ref="G129:P129"/>
    <mergeCell ref="G75:P75"/>
    <mergeCell ref="G84:P84"/>
    <mergeCell ref="B39:D39"/>
    <mergeCell ref="I4:J4"/>
    <mergeCell ref="B8:C8"/>
    <mergeCell ref="B13:C13"/>
    <mergeCell ref="G49:P49"/>
    <mergeCell ref="G50:P50"/>
    <mergeCell ref="G51:P51"/>
    <mergeCell ref="G52:P52"/>
    <mergeCell ref="G57:P57"/>
    <mergeCell ref="G68:P68"/>
    <mergeCell ref="G69:P69"/>
    <mergeCell ref="G58:P58"/>
    <mergeCell ref="G65:P65"/>
  </mergeCells>
  <pageMargins left="0.7" right="0.7" top="0.75" bottom="0.75" header="0.3" footer="0.3"/>
  <pageSetup orientation="portrait" r:id="rId1"/>
  <ignoredErrors>
    <ignoredError sqref="I4 E34:E37 E3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Instrucciones</vt:lpstr>
      <vt:lpstr>Índice Tablas</vt:lpstr>
      <vt:lpstr>20201001Tarifas 2021 Stgo 09 21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__xlnm_Print_Area</vt:lpstr>
      <vt:lpstr>__xlnm_Print_Area_1</vt:lpstr>
      <vt:lpstr>__xlnm_Print_Area_2</vt:lpstr>
      <vt:lpstr>__xlnm_Print_Titles</vt:lpstr>
      <vt:lpstr>__xlnm_Print_Titles_1</vt:lpstr>
      <vt:lpstr>'20201001Tarifas 2021 Stgo 09 21'!Área_de_impresión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'20201001Tarifas 2021 Stgo 09 21'!Títulos_a_imprimir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 Loreto Mondaca</dc:creator>
  <cp:lastModifiedBy>130 Carolina Vera</cp:lastModifiedBy>
  <dcterms:created xsi:type="dcterms:W3CDTF">2020-10-01T18:34:19Z</dcterms:created>
  <dcterms:modified xsi:type="dcterms:W3CDTF">2020-12-15T20:06:08Z</dcterms:modified>
</cp:coreProperties>
</file>