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929" firstSheet="3" activeTab="9"/>
  </bookViews>
  <sheets>
    <sheet name="Instrucciones" sheetId="1" r:id="rId1"/>
    <sheet name="Índice Tablas" sheetId="2" r:id="rId2"/>
    <sheet name="A) Reajuste Tarifas y Ocupación" sheetId="3" r:id="rId3"/>
    <sheet name="B) Comparación Mercado" sheetId="4" r:id="rId4"/>
    <sheet name="C) Remuneraciones" sheetId="5" r:id="rId5"/>
    <sheet name="D) Estimación Costos" sheetId="6" r:id="rId6"/>
    <sheet name="E) Resumen Ingresos y Egresos" sheetId="7" r:id="rId7"/>
    <sheet name="F) Resumen Tarifado " sheetId="8" r:id="rId8"/>
    <sheet name="G) Detalle Datos" sheetId="9" r:id="rId9"/>
    <sheet name="Información y Datos" sheetId="10" r:id="rId10"/>
    <sheet name="Hoja1" sheetId="11" r:id="rId11"/>
  </sheets>
  <externalReferences>
    <externalReference r:id="rId14"/>
  </externalReferences>
  <definedNames>
    <definedName name="__xlnm_Print_Area">'E) Resumen Ingresos y Egresos'!$A$1:$O$48</definedName>
    <definedName name="__xlnm_Print_Area_1">'D) Estimación Costos'!$A$1:$H$37</definedName>
    <definedName name="__xlnm_Print_Area_2">'F) Resumen Tarifado '!$A$4:$D$14</definedName>
    <definedName name="__xlnm_Print_Titles">'E) Resumen Ingresos y Egresos'!$1:$17</definedName>
    <definedName name="__xlnm_Print_Titles_1">'D) Estimación Costos'!$1:$11</definedName>
    <definedName name="__xlnm_Print_Titles_2">NA()</definedName>
    <definedName name="_GoBack" localSheetId="8">'G) Detalle Datos'!#REF!</definedName>
    <definedName name="_xlfn.IFERROR" hidden="1">#NAME?</definedName>
    <definedName name="_xlnm.Print_Area" localSheetId="5">'D) Estimación Costos'!$A$1:$H$76</definedName>
    <definedName name="_xlnm.Print_Area" localSheetId="6">'E) Resumen Ingresos y Egresos'!$A$1:$O$48</definedName>
    <definedName name="_xlnm.Print_Area" localSheetId="7">'F) Resumen Tarifado '!$A$4:$D$14</definedName>
    <definedName name="bienique1">'E) Resumen Ingresos y Egresos'!$A$8</definedName>
    <definedName name="Excel_BuiltIn_Print_Area" localSheetId="5">'D) Estimación Costos'!$A$1:$H$37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5">'D) Estimación Costos'!$1:$11</definedName>
    <definedName name="_xlnm.Print_Titles" localSheetId="6">'E) Resumen Ingresos y Egresos'!$1:$17</definedName>
  </definedNames>
  <calcPr fullCalcOnLoad="1"/>
</workbook>
</file>

<file path=xl/comments7.xml><?xml version="1.0" encoding="utf-8"?>
<comments xmlns="http://schemas.openxmlformats.org/spreadsheetml/2006/main">
  <authors>
    <author>321 Marcelo Hernandez</author>
  </authors>
  <commentList>
    <comment ref="H8" authorId="0">
      <text>
        <r>
          <rPr>
            <b/>
            <sz val="9"/>
            <rFont val="Tahoma"/>
            <family val="2"/>
          </rPr>
          <t>No considerar estimación de “Costos indirectos en remuneraciones” para la propuesta de Tarifas 2019 del Centro DALEGRÍA.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Maria Jose</author>
  </authors>
  <commentList>
    <comment ref="C94" authorId="0">
      <text>
        <r>
          <rPr>
            <b/>
            <sz val="9"/>
            <rFont val="Tahoma"/>
            <family val="2"/>
          </rPr>
          <t>Maria Jose
total salas: 6 (Sensorial 1, Sensorial 2, Multi, Cogn, Kine y Casa Proyecto)</t>
        </r>
      </text>
    </comment>
    <comment ref="C95" authorId="0">
      <text>
        <r>
          <rPr>
            <b/>
            <sz val="9"/>
            <rFont val="Tahoma"/>
            <family val="2"/>
          </rPr>
          <t xml:space="preserve">Maria Jose:
Total oficinas: fono 1, fono 2, psic., sala blanca, sala negra, comedor personal, comedor usuarios, enfermería, oficina EDI, oficina admin. Contable y oficina dirección. </t>
        </r>
      </text>
    </comment>
    <comment ref="C96" authorId="0">
      <text>
        <r>
          <rPr>
            <b/>
            <sz val="9"/>
            <rFont val="Tahoma"/>
            <family val="2"/>
          </rPr>
          <t>Maria Jose:</t>
        </r>
        <r>
          <rPr>
            <sz val="9"/>
            <rFont val="Tahoma"/>
            <family val="2"/>
          </rPr>
          <t xml:space="preserve">
3 baños de servicio, baño discapacit., baño visitas, baño varones, baño damas, baño oficina fono, baño oficina administ. Y baño oficina direccion.</t>
        </r>
      </text>
    </comment>
  </commentList>
</comments>
</file>

<file path=xl/sharedStrings.xml><?xml version="1.0" encoding="utf-8"?>
<sst xmlns="http://schemas.openxmlformats.org/spreadsheetml/2006/main" count="743" uniqueCount="482">
  <si>
    <t>REPARTICION:</t>
  </si>
  <si>
    <t>Cálculo Ingreso</t>
  </si>
  <si>
    <t>Ocupación / Cargo</t>
  </si>
  <si>
    <t>Reajuste</t>
  </si>
  <si>
    <t>Prestación</t>
  </si>
  <si>
    <t>Total</t>
  </si>
  <si>
    <t>Meta Ocupación</t>
  </si>
  <si>
    <t>Ingreso anual</t>
  </si>
  <si>
    <t>Ingreso total anual</t>
  </si>
  <si>
    <t>COSTOS DE OPERACIÓN</t>
  </si>
  <si>
    <t>REMUNERACIONES DIRECTAS</t>
  </si>
  <si>
    <t>GASTO DE OPERACIÓN</t>
  </si>
  <si>
    <t>COMBUSTIBLE LUBRIC P.VEHICULOS</t>
  </si>
  <si>
    <t>MAT.P/MATEN.Y REPARACION</t>
  </si>
  <si>
    <t>ELECTRICIDAD</t>
  </si>
  <si>
    <t>AGUA</t>
  </si>
  <si>
    <t>GAS</t>
  </si>
  <si>
    <t>TELEFONIA FIJA</t>
  </si>
  <si>
    <t>ACCESO A INTERNET</t>
  </si>
  <si>
    <t>SERVICIOS DE ASEO</t>
  </si>
  <si>
    <t>PASAJES, FLETES Y BODEGAJE</t>
  </si>
  <si>
    <t>SERVICIOS INFORMATICOS</t>
  </si>
  <si>
    <t>GASTOS DE ADMINISTRACIÓN Y VENTAS</t>
  </si>
  <si>
    <t>GASTO EN PERSONAL</t>
  </si>
  <si>
    <t>CURSOS DE CAPACITACION</t>
  </si>
  <si>
    <t>CONSUMOS BÁSICOS</t>
  </si>
  <si>
    <t>OTROS SERVICIOS BASICOS</t>
  </si>
  <si>
    <t>BIENES DE CONSUMO</t>
  </si>
  <si>
    <t>MATERIALES DE OFICINA</t>
  </si>
  <si>
    <t>FERT.INSECT.FUNG.Y OTROS</t>
  </si>
  <si>
    <t>MAT.Y UTILES DE ASEO</t>
  </si>
  <si>
    <t>MENAJE OFICINA CASINO Y OTROS</t>
  </si>
  <si>
    <t>MOBILIARIO Y OTROS</t>
  </si>
  <si>
    <t>SERVICIOS GENERALES</t>
  </si>
  <si>
    <t>SERVICIO DE PUBLICIDAD</t>
  </si>
  <si>
    <t>SERVICIO DE IMPRESION</t>
  </si>
  <si>
    <t>SEGURO INMUEBLES</t>
  </si>
  <si>
    <t>MANTENCIÓN Y REPARACIÓN</t>
  </si>
  <si>
    <t>OTROS GASTOS</t>
  </si>
  <si>
    <t>Costo Unitario Promedio</t>
  </si>
  <si>
    <t>Cantidad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</si>
  <si>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</si>
  <si>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</si>
  <si>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</si>
  <si>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</si>
  <si>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</si>
  <si>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</si>
  <si>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</si>
  <si>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</si>
  <si>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</si>
  <si>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</si>
  <si>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</si>
  <si>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</si>
  <si>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</si>
  <si>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A) Reajuste Tarifas y Ocupación</t>
  </si>
  <si>
    <t>B) Comparación Mercado</t>
  </si>
  <si>
    <t>C) Remuneraciones</t>
  </si>
  <si>
    <t>F) Resumen Tarifado</t>
  </si>
  <si>
    <t>G) Detalle Datos</t>
  </si>
  <si>
    <t>Mensualidad</t>
  </si>
  <si>
    <t>Ingreso por Matrícula</t>
  </si>
  <si>
    <t>Ingreso por Mensualidad</t>
  </si>
  <si>
    <t>TOTAL GENERAL</t>
  </si>
  <si>
    <t>TABLA 1: REAJUSTE DE TARIFAS POR PRESTACIÓN Y SEGMENTO</t>
  </si>
  <si>
    <t>TABLA 2: METAS DE OCUPACIÓN POR PRESTACIÓN Y SEGMENTO</t>
  </si>
  <si>
    <t>REMUNERACIONES TOTALES CÓDIGO DEL TRABAJO</t>
  </si>
  <si>
    <t>MANT.Y REPAR. MOBILIARIO Y OTROS</t>
  </si>
  <si>
    <t>MANT.Y REPAR. DE EQUIPOS OFICINA</t>
  </si>
  <si>
    <t>MANT.Y REPAR. EQUIPOS INFORMATICOS</t>
  </si>
  <si>
    <t>SERVICIO DE MANTENCION JARDINES</t>
  </si>
  <si>
    <t>COSTO DIRECTO TOTAL</t>
  </si>
  <si>
    <t>Total Anual</t>
  </si>
  <si>
    <t>Costos Totales</t>
  </si>
  <si>
    <t>C) REMUNERACIONES DEL PERSONAL CÓDIGO DEL TRABAJO</t>
  </si>
  <si>
    <t>G) DETALLE DE DATOS COMPLEMENTARIOS</t>
  </si>
  <si>
    <t>Reajuste propuesto</t>
  </si>
  <si>
    <t>COMPARACIÓN 1</t>
  </si>
  <si>
    <t>COMPARACIÓN 2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</si>
  <si>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</si>
  <si>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</si>
  <si>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</si>
  <si>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</si>
  <si>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</si>
  <si>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TABLA 3: COMPARACIÓN TARIFAS CON PRECIOS DE MERCADO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</si>
  <si>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</si>
  <si>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Reajuste en pesos ($)</t>
  </si>
  <si>
    <t>Reajuste en porcentaje (%)</t>
  </si>
  <si>
    <t>E) Resumen Ingresos y Egresos</t>
  </si>
  <si>
    <t>E) RESUMEN DE INGRESOS Y EGRESOS</t>
  </si>
  <si>
    <t>Ingreso por Escuela de Verano</t>
  </si>
  <si>
    <t>Precio promedio mercado (ppm)</t>
  </si>
  <si>
    <t>Total Meta Ocupación</t>
  </si>
  <si>
    <t>DALEGRÍA</t>
  </si>
  <si>
    <t>(Nombre de prestación 7)</t>
  </si>
  <si>
    <t>(Nombre de prestación 8)</t>
  </si>
  <si>
    <t>(Nombre de prestación 9)</t>
  </si>
  <si>
    <t>(Nombre de prestación 10)</t>
  </si>
  <si>
    <t>Dalegría</t>
  </si>
  <si>
    <t>TABLA 7: DETALLE DE INGRESOS POR PRESTACIÓN Y SEGMENTO</t>
  </si>
  <si>
    <t>TABLA 4: REMUNERACIONES DEL PERSONAL LEY 18.712 DE DALEGRÍA</t>
  </si>
  <si>
    <t>TABLA 4: REMUNERACIONES DEL PERSONAL LEY 18.712 DALEGRÍA</t>
  </si>
  <si>
    <t>ANEXO C</t>
  </si>
  <si>
    <r>
      <rPr>
        <b/>
        <sz val="16"/>
        <rFont val="Arial"/>
        <family val="2"/>
      </rPr>
      <t>%</t>
    </r>
    <r>
      <rPr>
        <b/>
        <sz val="11"/>
        <rFont val="Arial"/>
        <family val="2"/>
      </rPr>
      <t xml:space="preserve"> respecto a Precio Promedio Mercado</t>
    </r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</si>
  <si>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 val="single"/>
        <sz val="10"/>
        <rFont val="Arial"/>
        <family val="2"/>
      </rPr>
      <t>dentro de la misma comuna en la que se encuentra el Centro DALEGRÍA</t>
    </r>
    <r>
      <rPr>
        <sz val="10"/>
        <rFont val="Arial"/>
        <family val="2"/>
      </rPr>
      <t xml:space="preserve">. Este cuadro comparativo debe ser completado con, </t>
    </r>
    <r>
      <rPr>
        <b/>
        <u val="single"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 val="single"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 val="single"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el Centro DALEGRÍA.</t>
    </r>
  </si>
  <si>
    <t>D) ESTIMACION DE COSTOS</t>
  </si>
  <si>
    <t>D) Estimación Costos</t>
  </si>
  <si>
    <t>TABLA 5: COSTOS DIRECTOS DE DALEGRÍA</t>
  </si>
  <si>
    <t>TABLA 8: RESUMEN DE TARIFADO DE DALEGRÍA</t>
  </si>
  <si>
    <t>TABLA 6: RESUMEN DE INGRESOS Y EGRESOS DE DALEGRÍA</t>
  </si>
  <si>
    <t>Jornada Completa</t>
  </si>
  <si>
    <t>BIENVALP</t>
  </si>
  <si>
    <t>A) REAJUSTE DE TARIFAS Y METAS DE OCUPACIÓN</t>
  </si>
  <si>
    <t>Jornada Completa (modalidad escolar)</t>
  </si>
  <si>
    <t>Media Extendida (modalidad escolar)</t>
  </si>
  <si>
    <t>Programa Especial (ambulatorio)</t>
  </si>
  <si>
    <t>Informes de Evaluación Multidisciplinario</t>
  </si>
  <si>
    <t>Informes de Evaluación Multi - TEA</t>
  </si>
  <si>
    <t>REMUNERACIONES 2020</t>
  </si>
  <si>
    <t>Costo Total por Servidor Reajustado 2021</t>
  </si>
  <si>
    <t>Gasto Total empresa</t>
  </si>
  <si>
    <t>Costo Total anual por Servidor 2020</t>
  </si>
  <si>
    <t>Meta Ocupación niños 2021</t>
  </si>
  <si>
    <t>Propuesta Mensualidad 2021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</si>
  <si>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</si>
  <si>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</si>
  <si>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</si>
  <si>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</si>
  <si>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</si>
  <si>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</si>
  <si>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</si>
  <si>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</si>
  <si>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PRODUCTOS QUIMICOS (EXTINTOR)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</si>
  <si>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</si>
  <si>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</si>
  <si>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</si>
  <si>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</si>
  <si>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</si>
  <si>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</si>
  <si>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</si>
  <si>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PROD.QUIMIC,FARMACEUTICOS IND. (BOTIQUIN)</t>
  </si>
  <si>
    <t>EQUIPOS COMPUTACIONALES (CAMARAS DE VIGILANCIA)</t>
  </si>
  <si>
    <t>TEXTOS Y OTROS MAT.ENSEÑANZA</t>
  </si>
  <si>
    <t>SERVICIOS DE VIGILANCIA /SEGURIDAD</t>
  </si>
  <si>
    <t>OTROS SERVICIOS GENERALES (FUMIGACIÓN)</t>
  </si>
  <si>
    <t>SEGURO PARVULOS</t>
  </si>
  <si>
    <t>OTROS SERVICIOS GENERALES (LAVANDERIIA)</t>
  </si>
  <si>
    <t>OTROS ARRIENDOS (BUSES)</t>
  </si>
  <si>
    <t>MANT.Y REPAR. OTRAS MAQ. Y EQUIP. (COCINA)</t>
  </si>
  <si>
    <t>OTROS MANTEN. Y REPAR. MENORES (GASFITERIA Y ELECTRICIDAD)</t>
  </si>
  <si>
    <t>OTROS MANTEN. Y REP.MENORES</t>
  </si>
  <si>
    <t>CUOTA DE PADRES</t>
  </si>
  <si>
    <t>Mensualidad 2020</t>
  </si>
  <si>
    <t>Personal Servicio Activo Armada y otras FFAA</t>
  </si>
  <si>
    <t>PDI</t>
  </si>
  <si>
    <t>GENDARMERIA</t>
  </si>
  <si>
    <t>Casos Especiales</t>
  </si>
  <si>
    <t>Matrícula 2021</t>
  </si>
  <si>
    <t>Mensualidad 2021</t>
  </si>
  <si>
    <t>PERSONAL SERVICIO ACTIVO</t>
  </si>
  <si>
    <t>PERSONAL EN RETIRO</t>
  </si>
  <si>
    <t>CASOS ESPECIALES</t>
  </si>
  <si>
    <t xml:space="preserve"> PERSONAL EN RETIRO</t>
  </si>
  <si>
    <t xml:space="preserve">PDI  </t>
  </si>
  <si>
    <t xml:space="preserve">  GENDARMERÍA</t>
  </si>
  <si>
    <t xml:space="preserve"> GENDARMERÍA</t>
  </si>
  <si>
    <t>Tarifa 2021</t>
  </si>
  <si>
    <t xml:space="preserve"> </t>
  </si>
  <si>
    <t>EN RETIRO</t>
  </si>
  <si>
    <t>Aportes</t>
  </si>
  <si>
    <t xml:space="preserve"> PDI </t>
  </si>
  <si>
    <t xml:space="preserve"> CASOS ESPECIALES</t>
  </si>
  <si>
    <t>AFL</t>
  </si>
  <si>
    <t>PAF</t>
  </si>
  <si>
    <t>COSTO DIRECTO ESTIMADO 2021</t>
  </si>
  <si>
    <t>GABRIELA ANDREA</t>
  </si>
  <si>
    <t>AGUILERA LABARCA</t>
  </si>
  <si>
    <t>ALEJANDRA GISELLE</t>
  </si>
  <si>
    <t>COSTA MILLONES</t>
  </si>
  <si>
    <t>VALENTINA PAZ</t>
  </si>
  <si>
    <t>CLAUDIA CECILIA</t>
  </si>
  <si>
    <t>ALEJANDRO BORIS</t>
  </si>
  <si>
    <t>PATRICIA ESTER</t>
  </si>
  <si>
    <t>MIREYA ELVIRA</t>
  </si>
  <si>
    <t>IVONNE ANA</t>
  </si>
  <si>
    <t>PATRICIO ALFONSO</t>
  </si>
  <si>
    <t>NAVARRO CANEPA</t>
  </si>
  <si>
    <t>ORREGO WALLACE</t>
  </si>
  <si>
    <t>RIVEROS UNDURRAGA</t>
  </si>
  <si>
    <t>ROMERO ROMERO</t>
  </si>
  <si>
    <t>CAROLINA ANDREA</t>
  </si>
  <si>
    <t>GISELLE TERESA</t>
  </si>
  <si>
    <t>URIBE ARANDA</t>
  </si>
  <si>
    <t>ZAPATA ZAMORANO</t>
  </si>
  <si>
    <t>ITEM</t>
  </si>
  <si>
    <t>JESSICA DEL CARMEN</t>
  </si>
  <si>
    <t>SOTO GUERRERO</t>
  </si>
  <si>
    <t>CATHERYNE DEL CARMEN</t>
  </si>
  <si>
    <t>CUITIÑO SAAVEDRA</t>
  </si>
  <si>
    <t>EDUC.DIFERENCIAL</t>
  </si>
  <si>
    <t>EDUC. DIFERENCIAL (PSIC)</t>
  </si>
  <si>
    <t>TERAPEUTA OCUPACIONAL</t>
  </si>
  <si>
    <t xml:space="preserve">MARÍA JOSÉ </t>
  </si>
  <si>
    <t>HERNÁNDEZ SAN MARTÍN</t>
  </si>
  <si>
    <t>DIRECTORA EJECUTIVA</t>
  </si>
  <si>
    <t>LARA PÉREZ</t>
  </si>
  <si>
    <t>PSICÓLOGA</t>
  </si>
  <si>
    <t>MÉNDEZ VALDEBENITO</t>
  </si>
  <si>
    <t>AUXILIAR DE ASEO</t>
  </si>
  <si>
    <t>FONOAUDIÓLOGA</t>
  </si>
  <si>
    <t>RAMONET GRANDÓN</t>
  </si>
  <si>
    <t>KINESIÓLOGA</t>
  </si>
  <si>
    <t>FONOAUDIÓLOGO</t>
  </si>
  <si>
    <t>VALESKA MELISSA</t>
  </si>
  <si>
    <t>ROSAS SOTO</t>
  </si>
  <si>
    <t>MANIPULADORA ALIMENT.</t>
  </si>
  <si>
    <t xml:space="preserve">WISC ACTUALIZADO $654.500 valor 2020 </t>
  </si>
  <si>
    <t>material didáctico área de TO, EDI, Fono y Psicología: 500.000 * 1,03.-</t>
  </si>
  <si>
    <t xml:space="preserve">OTROS MANTEN. Y REP.MENORES </t>
  </si>
  <si>
    <r>
      <rPr>
        <sz val="10"/>
        <color indexed="10"/>
        <rFont val="Arial"/>
        <family val="2"/>
      </rPr>
      <t>BUS:</t>
    </r>
    <r>
      <rPr>
        <sz val="10"/>
        <rFont val="Arial"/>
        <family val="2"/>
      </rPr>
      <t xml:space="preserve"> revisiones técnicas, seguros, neumáticos, batería;  mantención km, sistema de frenos, balanceo y alineación.-</t>
    </r>
  </si>
  <si>
    <t>7 extintores $21.500 más extintor K para cocina $237.820 *1,03.-</t>
  </si>
  <si>
    <t>J.I. LOS DELFINES</t>
  </si>
  <si>
    <t>ESCUELA ESPECIAL ALTAVIDA</t>
  </si>
  <si>
    <t>MAKIPURA (mens.según prom.3 terap.)</t>
  </si>
  <si>
    <t>MAKIPURA (eval. Multi)</t>
  </si>
  <si>
    <t>MAKIPURA (eval.con ADOS)</t>
  </si>
  <si>
    <t xml:space="preserve">J.I. JOSEFINAPINA </t>
  </si>
  <si>
    <t>ESCUELA ESPECIAL LOS FRESNOS</t>
  </si>
  <si>
    <t>ESPIRAL (mens.según prom.3 terap.</t>
  </si>
  <si>
    <t>ESPIRAL (eval. Multi)</t>
  </si>
  <si>
    <t>ESPIRAL (eval. Con ADOS)</t>
  </si>
  <si>
    <t>PRQ EPP</t>
  </si>
  <si>
    <t>CANT. MASCARILLAS</t>
  </si>
  <si>
    <t>CANT. BUZOS</t>
  </si>
  <si>
    <t>CANT.COFIAS</t>
  </si>
  <si>
    <t>CANT. GUANTES</t>
  </si>
  <si>
    <t>AMONIO</t>
  </si>
  <si>
    <t>ALCH.GEL</t>
  </si>
  <si>
    <t>VALOR UN</t>
  </si>
  <si>
    <t>VALOR LT</t>
  </si>
  <si>
    <t>juguera (40.000) + microonda (50000) + minipyme (29000) + horno eléctrico (50000) + hervidor (30000) *1,03</t>
  </si>
  <si>
    <t>2 juegos de tenida: pantalón y pijama (polera) para toda dotación (25 personas)</t>
  </si>
  <si>
    <t>DETALLE DE EPP:</t>
  </si>
  <si>
    <t>13 PROFESIONALES</t>
  </si>
  <si>
    <t>2 ADMINISTRATIVOS</t>
  </si>
  <si>
    <t>2 PERSONAL SERVICIOS (COCINA Y ASEO)</t>
  </si>
  <si>
    <t>7 TÉCNICOS (6 DIF. Y 1 SN)</t>
  </si>
  <si>
    <t>TOTAL: 24 personas</t>
  </si>
  <si>
    <t>11 meses</t>
  </si>
  <si>
    <t>1 semanal</t>
  </si>
  <si>
    <t>CANTIDAD DE:</t>
  </si>
  <si>
    <t>TOTAL:</t>
  </si>
  <si>
    <t xml:space="preserve">7 botiquines + EPP </t>
  </si>
  <si>
    <t>OBSERVACIÓN:</t>
  </si>
  <si>
    <t xml:space="preserve">NIVEL </t>
  </si>
  <si>
    <t xml:space="preserve">MANTENIMIENTO </t>
  </si>
  <si>
    <t>DESCRIPCIÓN DEL TRABAJO</t>
  </si>
  <si>
    <t>FRECUENCIA</t>
  </si>
  <si>
    <t>CANTIDAD</t>
  </si>
  <si>
    <t>UNIDAD</t>
  </si>
  <si>
    <t>VALOR $</t>
  </si>
  <si>
    <t>VALOR ANUAL</t>
  </si>
  <si>
    <t>UF ANUAL</t>
  </si>
  <si>
    <t xml:space="preserve">MANTENIMIENTO 1er NIVEL </t>
  </si>
  <si>
    <t>MANTENCIÓN Y REPARACIONES EN TECHUMBRE</t>
  </si>
  <si>
    <t>LIMPIEZA DE CANALES DE AGUA LLUVIAS Y RESUMIDEROS</t>
  </si>
  <si>
    <t>ANUAL</t>
  </si>
  <si>
    <t>ML</t>
  </si>
  <si>
    <t>MANTENCION DE ARTEFACTOS SANITARIOS Y LAVAPLATOS</t>
  </si>
  <si>
    <t>FUNCIONAMIENTO  Y FITTINGS WC</t>
  </si>
  <si>
    <t>UN</t>
  </si>
  <si>
    <t xml:space="preserve">FUNCIONAMIENTO Y FITTINGS LAVAMANOS, TINETAS, LAVAPLATO Y LAVAFONDO </t>
  </si>
  <si>
    <t>SELLOS DE SILICONAS</t>
  </si>
  <si>
    <t>GL</t>
  </si>
  <si>
    <t>REPARACIONES Y MANTENCIÓN DE ARTEFACTOS DE COCINA</t>
  </si>
  <si>
    <t>CALEFONT</t>
  </si>
  <si>
    <t>ARTEFACTO COCINA Y FOGON</t>
  </si>
  <si>
    <t>MANTENCIÓN ELÉCTRICA</t>
  </si>
  <si>
    <t>LUMINARIAS Y ENCHUFE</t>
  </si>
  <si>
    <t>MANTENIMIENTO 2do NIVEL</t>
  </si>
  <si>
    <t xml:space="preserve">PATIO DE JUEGO </t>
  </si>
  <si>
    <t>VEREDAS Y PAVIMENTOS</t>
  </si>
  <si>
    <t>m2</t>
  </si>
  <si>
    <t>REJAS Y PROTECCIONES</t>
  </si>
  <si>
    <t>ml</t>
  </si>
  <si>
    <t xml:space="preserve">TECHUMBRE EN PATIO </t>
  </si>
  <si>
    <t>TECHUMBRE EDIFICACIÓN</t>
  </si>
  <si>
    <t>CANALES Y HOJALATERÍA</t>
  </si>
  <si>
    <t>MANTENCIÓN PINTURA INTERIOR CIELOS Y MUROS</t>
  </si>
  <si>
    <t xml:space="preserve">SALA DE ACTIVIDADES </t>
  </si>
  <si>
    <t>OFICINAS, COMEDORES, PASILLOS Y ETC.</t>
  </si>
  <si>
    <t>BAÑOS PERSONAL</t>
  </si>
  <si>
    <t>FACHADAS</t>
  </si>
  <si>
    <t>MANTENCION PINTURA EXTERIOR</t>
  </si>
  <si>
    <t>REJA PERIMETRAL</t>
  </si>
  <si>
    <t>CAMBIO DE SIFONES Y DESAGUES</t>
  </si>
  <si>
    <t>3 AÑOS</t>
  </si>
  <si>
    <t>CAMBIO DE GRIFERÍA LAVAMANOS, TINETA Y LAVAPLATOS</t>
  </si>
  <si>
    <t xml:space="preserve">MUEBLES DE COCINA  </t>
  </si>
  <si>
    <t>MANTENCIÓN MOBILIARIO</t>
  </si>
  <si>
    <t>2 AÑOS</t>
  </si>
  <si>
    <t>CERÁMICOS DE PISO Y MURO</t>
  </si>
  <si>
    <t>MANTENCIÓN REVESTIMIENTOS PISO Y MURO</t>
  </si>
  <si>
    <t>PUERTAS, CERRADURAS Y BISAGRAS</t>
  </si>
  <si>
    <t>MANTENCIÓN PUERTA Y VENTANA</t>
  </si>
  <si>
    <t>FUNCIONAMIENTO DE VENTANAS</t>
  </si>
  <si>
    <t>CIRCUITOS TABLERO Y TIERRA</t>
  </si>
  <si>
    <t>REVISIÓN DE AGUA POTABLE</t>
  </si>
  <si>
    <t>MANTENCIÓN SANITARIA</t>
  </si>
  <si>
    <t>REVISIÓN DE ALCANTARILLADO</t>
  </si>
  <si>
    <t>MANENCION CALEFACTORES</t>
  </si>
  <si>
    <t>MANTENCIÓN CLIMA Y EXTRACCION</t>
  </si>
  <si>
    <t>MANTENCIÓN CALDERA</t>
  </si>
  <si>
    <t>MANTENCION CAMPANA COCINA</t>
  </si>
  <si>
    <t>un</t>
  </si>
  <si>
    <t xml:space="preserve">MANTENCION RED HUMEDA (gabinetes, extintores, señaletica) </t>
  </si>
  <si>
    <t>MANTENCIÓN CAMARA DESENGRASANTE</t>
  </si>
  <si>
    <t xml:space="preserve">MANTENCION INSTALACIONES DE EMERGENCIA </t>
  </si>
  <si>
    <t xml:space="preserve">PODA Y TALA </t>
  </si>
  <si>
    <t xml:space="preserve">MANTENCION JARDINES </t>
  </si>
  <si>
    <t>CAMBIO DE TECHUMBRE</t>
  </si>
  <si>
    <t>10 AÑOS</t>
  </si>
  <si>
    <t xml:space="preserve">MANTENIMIENTO 3ER NIVEL </t>
  </si>
  <si>
    <t>REPOSICIONES</t>
  </si>
  <si>
    <t>REPOSICION  DE VENTANAS</t>
  </si>
  <si>
    <t>CAMBIO DE PUERTAS Y CERRADURAS</t>
  </si>
  <si>
    <t>uni</t>
  </si>
  <si>
    <t>REPOSICION DE CALEFACTORES</t>
  </si>
  <si>
    <t>8 AÑOS</t>
  </si>
  <si>
    <t>REPOSICION LAVAMANOS Y WC</t>
  </si>
  <si>
    <t>REPOSICION COCINA</t>
  </si>
  <si>
    <t xml:space="preserve">REPOSICION CAMPANA </t>
  </si>
  <si>
    <t>MANTENCIÓN SISTEMA DE VIGILANCIA (Cámaras Seg.)</t>
  </si>
  <si>
    <t xml:space="preserve">UF </t>
  </si>
  <si>
    <t>PESOS</t>
  </si>
  <si>
    <t>PLAN DE MANTENIMIENTO</t>
  </si>
  <si>
    <t>TERMÓMETRO</t>
  </si>
  <si>
    <t>1 semestral</t>
  </si>
  <si>
    <t xml:space="preserve">alimentación sonda - </t>
  </si>
  <si>
    <t>Uso en muda y</t>
  </si>
  <si>
    <t>CÁLCULO CON FÓRMULA</t>
  </si>
  <si>
    <t>2 diarias/10 semanal</t>
  </si>
  <si>
    <t>Para los tres consumos básicos se consideró monto proyectado en ppto. 2021 más el reajuste.</t>
  </si>
  <si>
    <t>Se consideró lo que ha arrojado el Sisbien últimos años.</t>
  </si>
  <si>
    <t>LUZ - AGUA - GAS</t>
  </si>
  <si>
    <t>SERVICIO DE ASEO</t>
  </si>
  <si>
    <t>DETALLE  P  X  Q</t>
  </si>
  <si>
    <t xml:space="preserve">Detalle más abajo </t>
  </si>
  <si>
    <t xml:space="preserve">DETALLE DE HORARIOS </t>
  </si>
  <si>
    <t>HORARIO</t>
  </si>
  <si>
    <t>08:00 a 08.30</t>
  </si>
  <si>
    <t>Limpieza - ventilación</t>
  </si>
  <si>
    <t>08:30 a 09:15</t>
  </si>
  <si>
    <t>Atención 1</t>
  </si>
  <si>
    <t>09:15 a 09:45</t>
  </si>
  <si>
    <t>09:45 a 10:30</t>
  </si>
  <si>
    <t>Atención 2</t>
  </si>
  <si>
    <t>10:30 a 11:00</t>
  </si>
  <si>
    <t>11:00 a 11:45</t>
  </si>
  <si>
    <t>Atención 3</t>
  </si>
  <si>
    <t>11:45 a 12:15</t>
  </si>
  <si>
    <t>12:15 a 13:00</t>
  </si>
  <si>
    <t>Atención 4</t>
  </si>
  <si>
    <t>13:00 a 13:30</t>
  </si>
  <si>
    <t>13:30 a 14:15</t>
  </si>
  <si>
    <t xml:space="preserve">Atencion 1 </t>
  </si>
  <si>
    <t>14:15 a 14:45</t>
  </si>
  <si>
    <t>14:45 a 15:30</t>
  </si>
  <si>
    <t>15:30 a 16:00</t>
  </si>
  <si>
    <t>16:00 a 16:45</t>
  </si>
  <si>
    <t>16:45 a 17:15</t>
  </si>
  <si>
    <t>17:15 a 18:00</t>
  </si>
  <si>
    <t>NIVEL MULTISENSORIAL</t>
  </si>
  <si>
    <t>N°</t>
  </si>
  <si>
    <t>NOMBRE</t>
  </si>
  <si>
    <t>JOSÉ MALDIFASSI GATICA</t>
  </si>
  <si>
    <t>PIA PROVOSTE POBLETE</t>
  </si>
  <si>
    <t>M. BERNARDITA PEÑARANDA</t>
  </si>
  <si>
    <t>SOFIA ARELLANO VALDEAVELLANO</t>
  </si>
  <si>
    <t>NIVEL COGNITIVO FUNCIONAL</t>
  </si>
  <si>
    <t>IGNACIO CASTILLO EMBRY</t>
  </si>
  <si>
    <t>MARIAJESUS CASTRO PIZARRO</t>
  </si>
  <si>
    <t>MITZI LOPEZ HIDALGO</t>
  </si>
  <si>
    <t>SERGIO NOVOA OSORIO</t>
  </si>
  <si>
    <t>PEDRO ARAYA ROJAS</t>
  </si>
  <si>
    <t>FELIPE LORCA DONOSO</t>
  </si>
  <si>
    <t>SEBASTIAN SEPÚLVEDA TOLEDO</t>
  </si>
  <si>
    <t>NIVEL  SENSORIAL 2</t>
  </si>
  <si>
    <t>JULIETA MANUBENS NIKLITSCHEK</t>
  </si>
  <si>
    <t>GÉNESIS HENRIQUEZ VERA</t>
  </si>
  <si>
    <t>YUSEF CHIBLE AMOR</t>
  </si>
  <si>
    <t>FÉLIX CARRASCO VEAS</t>
  </si>
  <si>
    <t>MIGUEL FUENTES MASCARREÑO</t>
  </si>
  <si>
    <t>NIVEL  SENSORIAL 1</t>
  </si>
  <si>
    <t>FILIPPA BACIGALUPO GONZÁLEZ</t>
  </si>
  <si>
    <t>CATALINA MADARIAGA BUSTOS</t>
  </si>
  <si>
    <t>FERNANDA TAPIA CARO</t>
  </si>
  <si>
    <t>JOAQUÍN VARELA HERRERA</t>
  </si>
  <si>
    <t>AGUSTÍN VEAS SAA</t>
  </si>
  <si>
    <t>FERNANDO VARELA</t>
  </si>
  <si>
    <t>1) Los horarios de las atenciones presenciales deberán considerar 30 minutos entre terapias para ventilación y limpieza.</t>
  </si>
  <si>
    <t>Además de priorizar terapias individuales y NO grupales.  Por lo tanto la cobertura tanto en proyección de teleterapia o presencial es la misma.</t>
  </si>
  <si>
    <t>2) La poca disponibilidad horaria de profesionales nos permitirá sólo realizar evaluaciones multidisciplinarias pero no nuevos ingresos.</t>
  </si>
  <si>
    <t>3) No se cuenta con profesionales de educación (EDIs) para dar atención a usuarios de permanencia en jornadas de tarde (en caso de ser presencial).</t>
  </si>
  <si>
    <t xml:space="preserve">APORTES </t>
  </si>
  <si>
    <t>REMUNERACIONES DIRECTORA Y FLGA. ZAPATA</t>
  </si>
  <si>
    <t xml:space="preserve">TOTAL APORTE </t>
  </si>
  <si>
    <t>MONTO 2021</t>
  </si>
  <si>
    <t>SOCIOS DALEGRIA (aproximado)</t>
  </si>
  <si>
    <t>APORTE INSTITUCIONAL (aproximado)</t>
  </si>
  <si>
    <t>APORTE INSTITUCIONAL ADICIONAL (aproximado)</t>
  </si>
  <si>
    <r>
      <t xml:space="preserve">1 computadores escritorios (área kine + TO) $600.000; + 1 notebook (uso reuniones técnicas / charlas) $485.000.- </t>
    </r>
    <r>
      <rPr>
        <sz val="10"/>
        <color indexed="10"/>
        <rFont val="Arial"/>
        <family val="2"/>
      </rPr>
      <t>AJUSTADO A 1 COMPU. DE ESCRITORIO</t>
    </r>
  </si>
  <si>
    <r>
      <t xml:space="preserve">Curso Integración Sensorial para 2 personas ($450.000 x2) y Diplomado en Convivencia Escolar 1 persona $180.000.  </t>
    </r>
    <r>
      <rPr>
        <sz val="10"/>
        <color indexed="10"/>
        <rFont val="Arial"/>
        <family val="2"/>
      </rPr>
      <t>AJUSTADO A SÒLO CURSO DE CONVIVENCIA ESCOLAR</t>
    </r>
  </si>
  <si>
    <r>
      <rPr>
        <sz val="10"/>
        <rFont val="Arial"/>
        <family val="2"/>
      </rPr>
      <t>1 multifuncional uso terapias ambulatorios: $150.000 * 1,03.</t>
    </r>
    <r>
      <rPr>
        <sz val="10"/>
        <color indexed="10"/>
        <rFont val="Arial"/>
        <family val="2"/>
      </rPr>
      <t>- ELIMINADO EN PROCESO DE AJUSTE INTERNO.</t>
    </r>
  </si>
  <si>
    <r>
      <t>Implementos área kinesiología: 1 camilla bobath (835.000) + escala esquina con rampa ($799.990) + paralela con rampa y obstáculos ($765.450) *1,03.</t>
    </r>
    <r>
      <rPr>
        <sz val="10"/>
        <color indexed="10"/>
        <rFont val="Arial"/>
        <family val="2"/>
      </rPr>
      <t>-ELIMINADO EN PROCESO DE AJUSTE INTERNO</t>
    </r>
  </si>
  <si>
    <t>Se proyectan: 21 usuarios de permanencia + 35 usuarios ambulatorios: 56 usuarios total (70% de ocupación en comparación a un año sin pandemia y 100% de ocupaciòn en año con pandemia).</t>
  </si>
  <si>
    <t>El tiempo destinado en ventilación - higiene se traduce en MENOS 152 terapias semanales por el equipo multi.</t>
  </si>
  <si>
    <t>Tarifa 2020</t>
  </si>
  <si>
    <t>ELIMINADO EN AJUSTE INTERNO</t>
  </si>
  <si>
    <t>21 personas</t>
  </si>
  <si>
    <t>2 diarios/10 semanal</t>
  </si>
  <si>
    <t>15 personas</t>
  </si>
  <si>
    <t xml:space="preserve">Excedente </t>
  </si>
  <si>
    <t>APORTE ADICIONAL</t>
  </si>
  <si>
    <t>SE REQUIERE COMO</t>
  </si>
  <si>
    <t>10 meses</t>
  </si>
  <si>
    <t>1*4*10*22</t>
  </si>
  <si>
    <t>10*4*10*22</t>
  </si>
  <si>
    <t>1 diaria /10 semanal</t>
  </si>
  <si>
    <t>MASCARILLA TRANSP.</t>
  </si>
  <si>
    <t>EPP</t>
  </si>
  <si>
    <r>
      <rPr>
        <b/>
        <sz val="10"/>
        <color indexed="10"/>
        <rFont val="Arial"/>
        <family val="2"/>
      </rPr>
      <t>4) Jornada única para permanencia, tomando como referencia el valor de jornada completa</t>
    </r>
    <r>
      <rPr>
        <b/>
        <sz val="10"/>
        <rFont val="Arial"/>
        <family val="2"/>
      </rPr>
      <t xml:space="preserve"> (S/educ.), con flexibilidad de horario y ajustes por cumplimiento de medidas sanitarias.</t>
    </r>
  </si>
  <si>
    <t>Ejemplo de distribución horaria profesional:  (cada profesional tiene su horario puesto todos cuentan con jornada laboral distinta).</t>
  </si>
  <si>
    <t>Ret.</t>
  </si>
  <si>
    <t>Act FFPP</t>
  </si>
  <si>
    <t>C.Esp.</t>
  </si>
  <si>
    <t>Act.Carab</t>
  </si>
  <si>
    <t>Act.Prof.Civil</t>
  </si>
  <si>
    <t>Ret /Beca</t>
  </si>
  <si>
    <t>(NO SE PROYECTA PARA 2021)</t>
  </si>
  <si>
    <t>10 mens.</t>
  </si>
  <si>
    <t>1 matricula</t>
  </si>
  <si>
    <t>10*4*5*21</t>
  </si>
  <si>
    <t>5 meses</t>
  </si>
  <si>
    <t>0% reajuste</t>
  </si>
  <si>
    <t>Capacidad: 56 usuarios (nuevo 100% de ocupaciòn).  Se proyecta con 47 usuarios y con posibilidad de nuevos ingresos con evaluación de ingreso presencial (JI Pececitos)</t>
  </si>
  <si>
    <t xml:space="preserve">Propuesta Tarifa. </t>
  </si>
  <si>
    <t>OPCIÓN: MANTENER TARIFA 2020 SIN REAJUSTE</t>
  </si>
  <si>
    <t>TOTAL COSTOS DIRECTOS</t>
  </si>
  <si>
    <t>TOTAL INGRESOS</t>
  </si>
  <si>
    <t>déficit proyectado manteniendo tarifa 2020</t>
  </si>
  <si>
    <t>VENTAJAS</t>
  </si>
  <si>
    <t>LIMITACIONES</t>
  </si>
  <si>
    <t>TARIFA IDEM 2020 (s/reajuste)</t>
  </si>
  <si>
    <t xml:space="preserve">1. Al apoderado no le genera  un gasto mayor en </t>
  </si>
  <si>
    <t>comparación con el 2020.</t>
  </si>
  <si>
    <t>comparación a la propuesta de tarifa única para todos.</t>
  </si>
  <si>
    <t xml:space="preserve">2.El déficit proyectado es significativamente menor en </t>
  </si>
  <si>
    <t>1. Existe alta probabilidad de que apoderados con</t>
  </si>
  <si>
    <t>matriculen para el 2021 aumentando así el déficit.</t>
  </si>
  <si>
    <t xml:space="preserve">tarifas elevadas (retirados y casos especiales) no se </t>
  </si>
  <si>
    <t>2.De igual manera pudiese ser que apoderados que</t>
  </si>
  <si>
    <t xml:space="preserve">no les acomode la Teleterapia no se matriculen </t>
  </si>
  <si>
    <t>esperando hasta el retorno presencial, lo que también</t>
  </si>
  <si>
    <t>aumentaría el déficit proyectado.</t>
  </si>
  <si>
    <t>OBSERVACIÓN</t>
  </si>
  <si>
    <r>
      <t xml:space="preserve">El </t>
    </r>
    <r>
      <rPr>
        <b/>
        <sz val="10"/>
        <rFont val="Arial"/>
        <family val="2"/>
      </rPr>
      <t>BONO COMPENSATORIO</t>
    </r>
    <r>
      <rPr>
        <sz val="10"/>
        <rFont val="Arial"/>
        <family val="2"/>
      </rPr>
      <t xml:space="preserve"> que debieran recibir personal profesional Ley 18.712 (3TO+3Fono+2EDI+2Kine+1Psic+1Direc) durante el </t>
    </r>
  </si>
  <si>
    <t>primer semestre de Teleterapia considerará el valor de movilización $14.270 + valor de alimentación mensual de $11.900 pesos, obteniendo</t>
  </si>
  <si>
    <t>un total de $26.170 pesos por 5 meses (marzo a julio) para los 12 profesionales antes detallados.</t>
  </si>
  <si>
    <t>Ambos gastos ya están considerados en la Estimación de Costos Directos y en Remuneraciones.</t>
  </si>
  <si>
    <t xml:space="preserve">(el gasto semestral en alimentación para 4 FFPP $714.000 se dividió por los 12 profesionales y luego por los 5 meses del primer semestre, </t>
  </si>
  <si>
    <t>llegando a un valor mensual para cada uno $11.900.-)</t>
  </si>
  <si>
    <t>(Pudiese no matricularse por teleterap)</t>
  </si>
  <si>
    <t>Ret./Beca 100%</t>
  </si>
  <si>
    <t xml:space="preserve">Ret. </t>
  </si>
  <si>
    <t>(Pudiesen no matricularse x traslado sur)</t>
  </si>
  <si>
    <t>Act. /Beca 100%</t>
  </si>
  <si>
    <t>Act.PAC /Beca 100%</t>
  </si>
  <si>
    <t>apoyos ext.</t>
  </si>
  <si>
    <t>100% Remuneraciones y 50% de costos directos .</t>
  </si>
  <si>
    <t>Incorpora todos los aportes de la Direbien, Socios + Mensualidades 46 usuarios</t>
  </si>
  <si>
    <t>Act. /</t>
  </si>
  <si>
    <t>NO SE MATRICULARÁ (cambio residencia)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</si>
</sst>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\$* #,##0.00_-;&quot;-$&quot;* #,##0.00_-;_-\$* \-??_-;_-@_-"/>
    <numFmt numFmtId="173" formatCode="\$#,##0_);&quot;($&quot;#,##0\)"/>
    <numFmt numFmtId="174" formatCode="_-&quot;$ &quot;* #,##0_-;&quot;-$ &quot;* #,##0_-;_-&quot;$ &quot;* \-_-;_-@_-"/>
    <numFmt numFmtId="175" formatCode="0\ %"/>
    <numFmt numFmtId="176" formatCode="0.0%"/>
    <numFmt numFmtId="177" formatCode="#,##0_ ;[Red]\-#,##0\ "/>
    <numFmt numFmtId="178" formatCode="_-* #,##0.00_-;\-* #,##0.00_-;_-* \-??_-;_-@_-"/>
    <numFmt numFmtId="179" formatCode="_-\ * #,##0_-;&quot;$ &quot;* #,##0_-;_-\ * \-_-;_-@_-"/>
    <numFmt numFmtId="180" formatCode="_-* #,##0.0_-;\-* #,##0.0_-;_-* \-??_-;_-@_-"/>
    <numFmt numFmtId="181" formatCode="_(* #,##0_);_(* \(#,##0\);_(* \-_);_(@_)"/>
    <numFmt numFmtId="182" formatCode="_-* #,##0_-;\-* #,##0_-;_-* \-??_-;_-@_-"/>
    <numFmt numFmtId="183" formatCode="&quot;$&quot;\ #,##0"/>
    <numFmt numFmtId="184" formatCode="_-&quot;$&quot;* #,##0_-;\-&quot;$&quot;* #,##0_-;_-&quot;$&quot;* &quot;-&quot;??_-;_-@_-"/>
    <numFmt numFmtId="185" formatCode="#,##0_ ;\-#,##0\ "/>
    <numFmt numFmtId="186" formatCode="0.00\ %"/>
    <numFmt numFmtId="187" formatCode="_-\$* #,##0_-;&quot;-$&quot;* #,##0_-;_-\$* \-??_-;_-@_-"/>
    <numFmt numFmtId="188" formatCode="_ \$* #,##0_ ;_ \$* \-#,##0_ ;_ \$* \-_ ;_ @_ "/>
    <numFmt numFmtId="189" formatCode="0&quot; AÑOS&quot;"/>
    <numFmt numFmtId="190" formatCode="_-&quot;$ &quot;* #,##0_-;&quot;-$ &quot;* #,##0_-;_-&quot;$ &quot;* \-??_-;_-@"/>
    <numFmt numFmtId="191" formatCode="0.0"/>
  </numFmts>
  <fonts count="90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8"/>
      <color indexed="36"/>
      <name val="Arial"/>
      <family val="2"/>
    </font>
    <font>
      <b/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2"/>
      <name val="Calibri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rgb="FF000000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9"/>
      <color rgb="FF000000"/>
      <name val="Arial"/>
      <family val="0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Calibri"/>
      <family val="0"/>
    </font>
    <font>
      <b/>
      <sz val="8"/>
      <name val="Arial"/>
      <family val="2"/>
    </font>
  </fonts>
  <fills count="9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125"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gray125">
        <bgColor theme="3" tint="-0.2499700039625167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gray125">
        <bgColor theme="5" tint="0.7999799847602844"/>
      </patternFill>
    </fill>
    <fill>
      <patternFill patternType="gray125">
        <bgColor theme="3" tint="0.799979984760284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bgColor theme="4" tint="0.5999900102615356"/>
      </patternFill>
    </fill>
    <fill>
      <patternFill patternType="solid">
        <fgColor rgb="FFC0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gray1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69D8FF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rgb="FFCC0000"/>
      </left>
      <right style="thin"/>
      <top style="medium">
        <color rgb="FFCC0000"/>
      </top>
      <bottom style="thin"/>
    </border>
    <border>
      <left style="medium">
        <color rgb="FFCC0000"/>
      </left>
      <right style="thin"/>
      <top style="thin"/>
      <bottom style="thin"/>
    </border>
    <border>
      <left style="medium">
        <color rgb="FFCC0000"/>
      </left>
      <right style="thin"/>
      <top style="thin"/>
      <bottom/>
    </border>
    <border>
      <left/>
      <right style="thin"/>
      <top style="medium">
        <color rgb="FFCC0000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36" borderId="0" applyNumberFormat="0" applyBorder="0" applyAlignment="0" applyProtection="0"/>
    <xf numFmtId="178" fontId="0" fillId="0" borderId="0">
      <alignment/>
      <protection/>
    </xf>
    <xf numFmtId="169" fontId="0" fillId="0" borderId="0" applyFont="0" applyFill="0" applyBorder="0" applyAlignment="0" applyProtection="0"/>
    <xf numFmtId="172" fontId="0" fillId="0" borderId="0">
      <alignment/>
      <protection/>
    </xf>
    <xf numFmtId="168" fontId="0" fillId="0" borderId="0" applyFont="0" applyFill="0" applyBorder="0" applyAlignment="0" applyProtection="0"/>
    <xf numFmtId="0" fontId="8" fillId="37" borderId="0" applyNumberFormat="0" applyBorder="0" applyAlignment="0" applyProtection="0"/>
    <xf numFmtId="0" fontId="0" fillId="38" borderId="5" applyNumberFormat="0" applyFont="0" applyAlignment="0" applyProtection="0"/>
    <xf numFmtId="0" fontId="5" fillId="37" borderId="6" applyNumberFormat="0" applyAlignment="0" applyProtection="0"/>
    <xf numFmtId="175" fontId="0" fillId="0" borderId="0">
      <alignment/>
      <protection/>
    </xf>
    <xf numFmtId="0" fontId="71" fillId="25" borderId="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67" fillId="0" borderId="9" applyNumberFormat="0" applyFill="0" applyAlignment="0" applyProtection="0"/>
    <xf numFmtId="0" fontId="76" fillId="0" borderId="10" applyNumberFormat="0" applyFill="0" applyAlignment="0" applyProtection="0"/>
    <xf numFmtId="0" fontId="9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75" fontId="0" fillId="0" borderId="0" xfId="67" applyFo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9" borderId="0" xfId="0" applyFont="1" applyFill="1" applyBorder="1" applyAlignment="1" applyProtection="1">
      <alignment horizontal="left" vertical="center"/>
      <protection/>
    </xf>
    <xf numFmtId="174" fontId="13" fillId="39" borderId="0" xfId="62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77" fontId="13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4" fontId="13" fillId="0" borderId="0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62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172" fontId="0" fillId="0" borderId="0" xfId="62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5" fontId="14" fillId="0" borderId="0" xfId="67" applyFont="1" applyBorder="1" applyAlignment="1" applyProtection="1">
      <alignment vertical="center"/>
      <protection/>
    </xf>
    <xf numFmtId="180" fontId="0" fillId="0" borderId="0" xfId="60" applyNumberFormat="1" applyFont="1" applyFill="1" applyBorder="1" applyAlignment="1" applyProtection="1">
      <alignment vertical="center"/>
      <protection/>
    </xf>
    <xf numFmtId="175" fontId="0" fillId="0" borderId="0" xfId="67" applyFont="1" applyFill="1" applyProtection="1">
      <alignment/>
      <protection/>
    </xf>
    <xf numFmtId="0" fontId="0" fillId="40" borderId="0" xfId="0" applyFont="1" applyFill="1" applyBorder="1" applyAlignment="1" applyProtection="1">
      <alignment horizontal="left" vertical="center"/>
      <protection/>
    </xf>
    <xf numFmtId="183" fontId="0" fillId="40" borderId="0" xfId="0" applyNumberFormat="1" applyFont="1" applyFill="1" applyBorder="1" applyAlignment="1" applyProtection="1">
      <alignment horizontal="right" vertical="center"/>
      <protection/>
    </xf>
    <xf numFmtId="0" fontId="0" fillId="4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40" borderId="0" xfId="0" applyFont="1" applyFill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9" fontId="0" fillId="0" borderId="0" xfId="0" applyNumberFormat="1" applyFont="1" applyFill="1" applyBorder="1" applyAlignment="1" applyProtection="1">
      <alignment horizontal="center" vertical="center"/>
      <protection/>
    </xf>
    <xf numFmtId="183" fontId="13" fillId="0" borderId="0" xfId="0" applyNumberFormat="1" applyFont="1" applyFill="1" applyBorder="1" applyAlignment="1" applyProtection="1">
      <alignment/>
      <protection/>
    </xf>
    <xf numFmtId="183" fontId="13" fillId="40" borderId="0" xfId="0" applyNumberFormat="1" applyFont="1" applyFill="1" applyBorder="1" applyAlignment="1" applyProtection="1">
      <alignment horizontal="right" vertical="center"/>
      <protection/>
    </xf>
    <xf numFmtId="9" fontId="0" fillId="40" borderId="0" xfId="0" applyNumberFormat="1" applyFont="1" applyFill="1" applyBorder="1" applyAlignment="1" applyProtection="1">
      <alignment horizontal="center" vertical="center"/>
      <protection/>
    </xf>
    <xf numFmtId="0" fontId="0" fillId="40" borderId="0" xfId="0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0" fontId="13" fillId="41" borderId="11" xfId="0" applyFont="1" applyFill="1" applyBorder="1" applyAlignment="1" applyProtection="1">
      <alignment horizontal="center" vertical="center" wrapText="1"/>
      <protection/>
    </xf>
    <xf numFmtId="180" fontId="13" fillId="41" borderId="11" xfId="60" applyNumberFormat="1" applyFont="1" applyFill="1" applyBorder="1" applyAlignment="1" applyProtection="1">
      <alignment horizontal="center" vertical="center" wrapText="1"/>
      <protection/>
    </xf>
    <xf numFmtId="0" fontId="11" fillId="41" borderId="12" xfId="0" applyFont="1" applyFill="1" applyBorder="1" applyAlignment="1" applyProtection="1">
      <alignment horizontal="center" vertical="center"/>
      <protection/>
    </xf>
    <xf numFmtId="174" fontId="11" fillId="42" borderId="12" xfId="62" applyNumberFormat="1" applyFont="1" applyFill="1" applyBorder="1" applyAlignment="1" applyProtection="1">
      <alignment vertical="center"/>
      <protection/>
    </xf>
    <xf numFmtId="0" fontId="11" fillId="43" borderId="12" xfId="0" applyFont="1" applyFill="1" applyBorder="1" applyAlignment="1" applyProtection="1">
      <alignment horizontal="left" vertical="center"/>
      <protection/>
    </xf>
    <xf numFmtId="174" fontId="11" fillId="43" borderId="13" xfId="62" applyNumberFormat="1" applyFont="1" applyFill="1" applyBorder="1" applyAlignment="1" applyProtection="1">
      <alignment horizontal="center" vertical="center"/>
      <protection/>
    </xf>
    <xf numFmtId="174" fontId="11" fillId="43" borderId="12" xfId="62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4" fontId="16" fillId="0" borderId="0" xfId="62" applyNumberFormat="1" applyFont="1" applyFill="1" applyBorder="1" applyAlignment="1" applyProtection="1">
      <alignment vertical="center"/>
      <protection/>
    </xf>
    <xf numFmtId="182" fontId="16" fillId="0" borderId="0" xfId="6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174" fontId="11" fillId="0" borderId="0" xfId="62" applyNumberFormat="1" applyFont="1" applyFill="1" applyBorder="1" applyAlignment="1" applyProtection="1">
      <alignment vertical="center"/>
      <protection/>
    </xf>
    <xf numFmtId="174" fontId="10" fillId="0" borderId="0" xfId="0" applyNumberFormat="1" applyFont="1" applyFill="1" applyBorder="1" applyAlignment="1" applyProtection="1">
      <alignment vertical="center"/>
      <protection/>
    </xf>
    <xf numFmtId="175" fontId="13" fillId="0" borderId="0" xfId="67" applyFont="1" applyFill="1" applyBorder="1" applyAlignment="1" applyProtection="1">
      <alignment horizontal="center" vertical="center"/>
      <protection/>
    </xf>
    <xf numFmtId="0" fontId="13" fillId="4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1" fontId="0" fillId="0" borderId="0" xfId="67" applyNumberFormat="1" applyFo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183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83" fontId="13" fillId="45" borderId="16" xfId="0" applyNumberFormat="1" applyFont="1" applyFill="1" applyBorder="1" applyAlignment="1" applyProtection="1">
      <alignment horizontal="center" vertical="center"/>
      <protection/>
    </xf>
    <xf numFmtId="176" fontId="13" fillId="45" borderId="16" xfId="6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/>
    </xf>
    <xf numFmtId="0" fontId="21" fillId="40" borderId="0" xfId="0" applyFont="1" applyFill="1" applyBorder="1" applyAlignment="1" applyProtection="1">
      <alignment horizontal="left" vertical="center" indent="2"/>
      <protection/>
    </xf>
    <xf numFmtId="0" fontId="13" fillId="0" borderId="17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17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3" fillId="46" borderId="0" xfId="0" applyFont="1" applyFill="1" applyBorder="1" applyAlignment="1" applyProtection="1">
      <alignment horizontal="center" vertical="center"/>
      <protection/>
    </xf>
    <xf numFmtId="0" fontId="0" fillId="46" borderId="0" xfId="0" applyFill="1" applyAlignment="1" applyProtection="1">
      <alignment/>
      <protection/>
    </xf>
    <xf numFmtId="0" fontId="0" fillId="46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184" fontId="0" fillId="0" borderId="0" xfId="62" applyNumberFormat="1" applyFont="1" applyFill="1" applyBorder="1" applyAlignment="1" applyProtection="1">
      <alignment vertical="center"/>
      <protection/>
    </xf>
    <xf numFmtId="184" fontId="0" fillId="0" borderId="0" xfId="62" applyNumberFormat="1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47" borderId="16" xfId="0" applyFill="1" applyBorder="1" applyAlignment="1" applyProtection="1">
      <alignment horizontal="left" vertical="center"/>
      <protection locked="0"/>
    </xf>
    <xf numFmtId="165" fontId="0" fillId="0" borderId="0" xfId="0" applyNumberFormat="1" applyAlignment="1" applyProtection="1">
      <alignment/>
      <protection locked="0"/>
    </xf>
    <xf numFmtId="185" fontId="0" fillId="47" borderId="16" xfId="62" applyNumberFormat="1" applyFont="1" applyFill="1" applyBorder="1" applyAlignment="1" applyProtection="1">
      <alignment horizontal="center" vertical="center"/>
      <protection locked="0"/>
    </xf>
    <xf numFmtId="174" fontId="0" fillId="48" borderId="16" xfId="62" applyNumberFormat="1" applyFont="1" applyFill="1" applyBorder="1" applyAlignment="1" applyProtection="1">
      <alignment vertical="center"/>
      <protection locked="0"/>
    </xf>
    <xf numFmtId="174" fontId="16" fillId="48" borderId="16" xfId="62" applyNumberFormat="1" applyFont="1" applyFill="1" applyBorder="1" applyAlignment="1" applyProtection="1">
      <alignment vertical="center"/>
      <protection locked="0"/>
    </xf>
    <xf numFmtId="182" fontId="16" fillId="48" borderId="16" xfId="60" applyNumberFormat="1" applyFont="1" applyFill="1" applyBorder="1" applyAlignment="1" applyProtection="1">
      <alignment vertical="center"/>
      <protection locked="0"/>
    </xf>
    <xf numFmtId="174" fontId="0" fillId="48" borderId="16" xfId="62" applyNumberFormat="1" applyFill="1" applyBorder="1" applyAlignment="1" applyProtection="1">
      <alignment vertical="center"/>
      <protection locked="0"/>
    </xf>
    <xf numFmtId="169" fontId="16" fillId="48" borderId="16" xfId="61" applyFont="1" applyFill="1" applyBorder="1" applyAlignment="1" applyProtection="1">
      <alignment vertical="center"/>
      <protection locked="0"/>
    </xf>
    <xf numFmtId="174" fontId="16" fillId="48" borderId="16" xfId="62" applyNumberFormat="1" applyFont="1" applyFill="1" applyBorder="1" applyAlignment="1" applyProtection="1">
      <alignment vertical="center"/>
      <protection locked="0"/>
    </xf>
    <xf numFmtId="169" fontId="11" fillId="48" borderId="16" xfId="61" applyFont="1" applyFill="1" applyBorder="1" applyAlignment="1" applyProtection="1">
      <alignment vertical="center"/>
      <protection locked="0"/>
    </xf>
    <xf numFmtId="174" fontId="16" fillId="32" borderId="16" xfId="62" applyNumberFormat="1" applyFont="1" applyFill="1" applyBorder="1" applyAlignment="1" applyProtection="1">
      <alignment vertical="center"/>
      <protection locked="0"/>
    </xf>
    <xf numFmtId="169" fontId="16" fillId="32" borderId="16" xfId="61" applyFont="1" applyFill="1" applyBorder="1" applyAlignment="1" applyProtection="1">
      <alignment vertical="center"/>
      <protection locked="0"/>
    </xf>
    <xf numFmtId="174" fontId="11" fillId="48" borderId="16" xfId="62" applyNumberFormat="1" applyFont="1" applyFill="1" applyBorder="1" applyAlignment="1" applyProtection="1">
      <alignment vertical="center"/>
      <protection locked="0"/>
    </xf>
    <xf numFmtId="174" fontId="0" fillId="32" borderId="16" xfId="62" applyNumberFormat="1" applyFont="1" applyFill="1" applyBorder="1" applyAlignment="1" applyProtection="1">
      <alignment vertical="center"/>
      <protection locked="0"/>
    </xf>
    <xf numFmtId="184" fontId="0" fillId="49" borderId="16" xfId="62" applyNumberFormat="1" applyFont="1" applyFill="1" applyBorder="1" applyAlignment="1" applyProtection="1">
      <alignment vertical="center"/>
      <protection/>
    </xf>
    <xf numFmtId="185" fontId="13" fillId="49" borderId="18" xfId="0" applyNumberFormat="1" applyFont="1" applyFill="1" applyBorder="1" applyAlignment="1" applyProtection="1">
      <alignment horizontal="center"/>
      <protection/>
    </xf>
    <xf numFmtId="185" fontId="0" fillId="47" borderId="19" xfId="62" applyNumberFormat="1" applyFont="1" applyFill="1" applyBorder="1" applyAlignment="1" applyProtection="1">
      <alignment horizontal="center" vertical="center"/>
      <protection locked="0"/>
    </xf>
    <xf numFmtId="185" fontId="13" fillId="49" borderId="20" xfId="0" applyNumberFormat="1" applyFont="1" applyFill="1" applyBorder="1" applyAlignment="1" applyProtection="1">
      <alignment horizontal="center"/>
      <protection/>
    </xf>
    <xf numFmtId="184" fontId="0" fillId="49" borderId="18" xfId="62" applyNumberFormat="1" applyFont="1" applyFill="1" applyBorder="1" applyAlignment="1" applyProtection="1">
      <alignment vertical="center"/>
      <protection/>
    </xf>
    <xf numFmtId="0" fontId="0" fillId="47" borderId="19" xfId="0" applyFont="1" applyFill="1" applyBorder="1" applyAlignment="1" applyProtection="1">
      <alignment horizontal="left" vertical="center"/>
      <protection locked="0"/>
    </xf>
    <xf numFmtId="184" fontId="0" fillId="49" borderId="19" xfId="62" applyNumberFormat="1" applyFont="1" applyFill="1" applyBorder="1" applyAlignment="1" applyProtection="1">
      <alignment vertical="center"/>
      <protection/>
    </xf>
    <xf numFmtId="184" fontId="0" fillId="49" borderId="20" xfId="62" applyNumberFormat="1" applyFont="1" applyFill="1" applyBorder="1" applyAlignment="1" applyProtection="1">
      <alignment vertical="center"/>
      <protection/>
    </xf>
    <xf numFmtId="174" fontId="0" fillId="0" borderId="0" xfId="0" applyNumberFormat="1" applyFont="1" applyAlignment="1" applyProtection="1">
      <alignment vertical="center"/>
      <protection/>
    </xf>
    <xf numFmtId="165" fontId="0" fillId="50" borderId="21" xfId="62" applyNumberFormat="1" applyFont="1" applyFill="1" applyBorder="1" applyAlignment="1" applyProtection="1">
      <alignment vertical="center"/>
      <protection/>
    </xf>
    <xf numFmtId="165" fontId="0" fillId="50" borderId="22" xfId="62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77" fillId="51" borderId="23" xfId="0" applyFont="1" applyFill="1" applyBorder="1" applyAlignment="1" applyProtection="1">
      <alignment horizontal="center" vertical="center" wrapText="1"/>
      <protection/>
    </xf>
    <xf numFmtId="0" fontId="77" fillId="52" borderId="24" xfId="0" applyFont="1" applyFill="1" applyBorder="1" applyAlignment="1" applyProtection="1">
      <alignment vertical="center"/>
      <protection/>
    </xf>
    <xf numFmtId="173" fontId="77" fillId="52" borderId="25" xfId="62" applyNumberFormat="1" applyFont="1" applyFill="1" applyBorder="1" applyAlignment="1" applyProtection="1">
      <alignment vertical="center"/>
      <protection/>
    </xf>
    <xf numFmtId="173" fontId="77" fillId="53" borderId="24" xfId="62" applyNumberFormat="1" applyFont="1" applyFill="1" applyBorder="1" applyAlignment="1" applyProtection="1">
      <alignment vertical="center"/>
      <protection/>
    </xf>
    <xf numFmtId="0" fontId="0" fillId="47" borderId="26" xfId="0" applyFill="1" applyBorder="1" applyAlignment="1" applyProtection="1">
      <alignment horizontal="left" vertical="center"/>
      <protection locked="0"/>
    </xf>
    <xf numFmtId="0" fontId="13" fillId="54" borderId="27" xfId="0" applyFont="1" applyFill="1" applyBorder="1" applyAlignment="1" applyProtection="1">
      <alignment horizontal="center" vertical="center" wrapText="1"/>
      <protection/>
    </xf>
    <xf numFmtId="184" fontId="0" fillId="48" borderId="16" xfId="62" applyNumberFormat="1" applyFont="1" applyFill="1" applyBorder="1" applyAlignment="1" applyProtection="1">
      <alignment vertical="center"/>
      <protection locked="0"/>
    </xf>
    <xf numFmtId="184" fontId="0" fillId="48" borderId="19" xfId="62" applyNumberFormat="1" applyFont="1" applyFill="1" applyBorder="1" applyAlignment="1" applyProtection="1">
      <alignment vertical="center"/>
      <protection locked="0"/>
    </xf>
    <xf numFmtId="0" fontId="0" fillId="47" borderId="28" xfId="0" applyFont="1" applyFill="1" applyBorder="1" applyAlignment="1" applyProtection="1">
      <alignment horizontal="left" vertical="center"/>
      <protection locked="0"/>
    </xf>
    <xf numFmtId="0" fontId="0" fillId="47" borderId="28" xfId="0" applyFill="1" applyBorder="1" applyAlignment="1" applyProtection="1">
      <alignment horizontal="left" vertical="center"/>
      <protection locked="0"/>
    </xf>
    <xf numFmtId="0" fontId="0" fillId="47" borderId="29" xfId="0" applyFont="1" applyFill="1" applyBorder="1" applyAlignment="1" applyProtection="1">
      <alignment horizontal="left" vertical="center"/>
      <protection locked="0"/>
    </xf>
    <xf numFmtId="184" fontId="0" fillId="48" borderId="21" xfId="62" applyNumberFormat="1" applyFont="1" applyFill="1" applyBorder="1" applyAlignment="1" applyProtection="1">
      <alignment vertical="center"/>
      <protection locked="0"/>
    </xf>
    <xf numFmtId="184" fontId="0" fillId="48" borderId="18" xfId="62" applyNumberFormat="1" applyFont="1" applyFill="1" applyBorder="1" applyAlignment="1" applyProtection="1">
      <alignment vertical="center"/>
      <protection locked="0"/>
    </xf>
    <xf numFmtId="184" fontId="0" fillId="48" borderId="22" xfId="62" applyNumberFormat="1" applyFont="1" applyFill="1" applyBorder="1" applyAlignment="1" applyProtection="1">
      <alignment vertical="center"/>
      <protection locked="0"/>
    </xf>
    <xf numFmtId="184" fontId="0" fillId="48" borderId="20" xfId="62" applyNumberFormat="1" applyFont="1" applyFill="1" applyBorder="1" applyAlignment="1" applyProtection="1">
      <alignment vertical="center"/>
      <protection locked="0"/>
    </xf>
    <xf numFmtId="9" fontId="0" fillId="48" borderId="21" xfId="62" applyNumberFormat="1" applyFont="1" applyFill="1" applyBorder="1" applyAlignment="1" applyProtection="1">
      <alignment horizontal="center" vertical="center"/>
      <protection locked="0"/>
    </xf>
    <xf numFmtId="9" fontId="0" fillId="48" borderId="22" xfId="62" applyNumberFormat="1" applyFont="1" applyFill="1" applyBorder="1" applyAlignment="1" applyProtection="1">
      <alignment horizontal="center" vertical="center"/>
      <protection locked="0"/>
    </xf>
    <xf numFmtId="184" fontId="0" fillId="49" borderId="21" xfId="62" applyNumberFormat="1" applyFont="1" applyFill="1" applyBorder="1" applyAlignment="1" applyProtection="1">
      <alignment vertical="center"/>
      <protection/>
    </xf>
    <xf numFmtId="184" fontId="0" fillId="49" borderId="22" xfId="62" applyNumberFormat="1" applyFont="1" applyFill="1" applyBorder="1" applyAlignment="1" applyProtection="1">
      <alignment vertical="center"/>
      <protection/>
    </xf>
    <xf numFmtId="0" fontId="0" fillId="47" borderId="30" xfId="0" applyFont="1" applyFill="1" applyBorder="1" applyAlignment="1" applyProtection="1">
      <alignment horizontal="left" vertical="center"/>
      <protection locked="0"/>
    </xf>
    <xf numFmtId="9" fontId="0" fillId="49" borderId="31" xfId="62" applyNumberFormat="1" applyFont="1" applyFill="1" applyBorder="1" applyAlignment="1" applyProtection="1">
      <alignment horizontal="center" vertical="center"/>
      <protection/>
    </xf>
    <xf numFmtId="9" fontId="0" fillId="49" borderId="32" xfId="62" applyNumberFormat="1" applyFont="1" applyFill="1" applyBorder="1" applyAlignment="1" applyProtection="1">
      <alignment horizontal="center" vertical="center"/>
      <protection/>
    </xf>
    <xf numFmtId="184" fontId="0" fillId="49" borderId="33" xfId="62" applyNumberFormat="1" applyFont="1" applyFill="1" applyBorder="1" applyAlignment="1" applyProtection="1">
      <alignment vertical="center"/>
      <protection/>
    </xf>
    <xf numFmtId="184" fontId="0" fillId="49" borderId="31" xfId="62" applyNumberFormat="1" applyFont="1" applyFill="1" applyBorder="1" applyAlignment="1" applyProtection="1">
      <alignment vertical="center"/>
      <protection/>
    </xf>
    <xf numFmtId="184" fontId="0" fillId="49" borderId="32" xfId="62" applyNumberFormat="1" applyFont="1" applyFill="1" applyBorder="1" applyAlignment="1" applyProtection="1">
      <alignment vertical="center"/>
      <protection/>
    </xf>
    <xf numFmtId="0" fontId="13" fillId="55" borderId="29" xfId="0" applyFont="1" applyFill="1" applyBorder="1" applyAlignment="1" applyProtection="1">
      <alignment horizontal="center" vertical="center" wrapText="1"/>
      <protection/>
    </xf>
    <xf numFmtId="174" fontId="13" fillId="56" borderId="22" xfId="0" applyNumberFormat="1" applyFont="1" applyFill="1" applyBorder="1" applyAlignment="1" applyProtection="1">
      <alignment horizontal="center" vertical="center" wrapText="1"/>
      <protection locked="0"/>
    </xf>
    <xf numFmtId="174" fontId="13" fillId="57" borderId="19" xfId="0" applyNumberFormat="1" applyFont="1" applyFill="1" applyBorder="1" applyAlignment="1" applyProtection="1">
      <alignment horizontal="center" vertical="center" wrapText="1"/>
      <protection locked="0"/>
    </xf>
    <xf numFmtId="174" fontId="13" fillId="57" borderId="20" xfId="0" applyNumberFormat="1" applyFont="1" applyFill="1" applyBorder="1" applyAlignment="1" applyProtection="1">
      <alignment horizontal="center" vertical="center" wrapText="1"/>
      <protection locked="0"/>
    </xf>
    <xf numFmtId="185" fontId="0" fillId="47" borderId="31" xfId="62" applyNumberFormat="1" applyFont="1" applyFill="1" applyBorder="1" applyAlignment="1" applyProtection="1">
      <alignment horizontal="center" vertical="center"/>
      <protection locked="0"/>
    </xf>
    <xf numFmtId="185" fontId="13" fillId="49" borderId="32" xfId="0" applyNumberFormat="1" applyFont="1" applyFill="1" applyBorder="1" applyAlignment="1" applyProtection="1">
      <alignment horizontal="center"/>
      <protection/>
    </xf>
    <xf numFmtId="174" fontId="13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55" borderId="2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left" vertical="center"/>
      <protection/>
    </xf>
    <xf numFmtId="185" fontId="0" fillId="47" borderId="33" xfId="62" applyNumberFormat="1" applyFont="1" applyFill="1" applyBorder="1" applyAlignment="1" applyProtection="1">
      <alignment horizontal="center" vertical="center"/>
      <protection locked="0"/>
    </xf>
    <xf numFmtId="185" fontId="0" fillId="47" borderId="21" xfId="62" applyNumberFormat="1" applyFont="1" applyFill="1" applyBorder="1" applyAlignment="1" applyProtection="1">
      <alignment horizontal="center" vertical="center"/>
      <protection locked="0"/>
    </xf>
    <xf numFmtId="185" fontId="0" fillId="47" borderId="22" xfId="62" applyNumberFormat="1" applyFont="1" applyFill="1" applyBorder="1" applyAlignment="1" applyProtection="1">
      <alignment horizontal="center" vertical="center"/>
      <protection locked="0"/>
    </xf>
    <xf numFmtId="0" fontId="21" fillId="40" borderId="0" xfId="0" applyFont="1" applyFill="1" applyBorder="1" applyAlignment="1" applyProtection="1">
      <alignment vertical="center"/>
      <protection/>
    </xf>
    <xf numFmtId="184" fontId="0" fillId="49" borderId="34" xfId="62" applyNumberFormat="1" applyFont="1" applyFill="1" applyBorder="1" applyAlignment="1" applyProtection="1">
      <alignment vertical="center"/>
      <protection/>
    </xf>
    <xf numFmtId="0" fontId="19" fillId="58" borderId="16" xfId="0" applyFont="1" applyFill="1" applyBorder="1" applyAlignment="1" applyProtection="1">
      <alignment horizontal="center" vertical="center"/>
      <protection/>
    </xf>
    <xf numFmtId="174" fontId="13" fillId="56" borderId="22" xfId="0" applyNumberFormat="1" applyFont="1" applyFill="1" applyBorder="1" applyAlignment="1" applyProtection="1">
      <alignment horizontal="center" vertical="center" wrapText="1"/>
      <protection/>
    </xf>
    <xf numFmtId="174" fontId="13" fillId="57" borderId="19" xfId="0" applyNumberFormat="1" applyFont="1" applyFill="1" applyBorder="1" applyAlignment="1" applyProtection="1">
      <alignment horizontal="center" vertical="center" wrapText="1"/>
      <protection/>
    </xf>
    <xf numFmtId="174" fontId="13" fillId="57" borderId="20" xfId="0" applyNumberFormat="1" applyFont="1" applyFill="1" applyBorder="1" applyAlignment="1" applyProtection="1">
      <alignment horizontal="center" vertical="center" wrapText="1"/>
      <protection/>
    </xf>
    <xf numFmtId="174" fontId="13" fillId="56" borderId="19" xfId="0" applyNumberFormat="1" applyFont="1" applyFill="1" applyBorder="1" applyAlignment="1" applyProtection="1">
      <alignment horizontal="center" vertical="center" wrapText="1"/>
      <protection/>
    </xf>
    <xf numFmtId="174" fontId="0" fillId="49" borderId="16" xfId="62" applyNumberFormat="1" applyFont="1" applyFill="1" applyBorder="1" applyAlignment="1" applyProtection="1">
      <alignment vertical="center"/>
      <protection/>
    </xf>
    <xf numFmtId="186" fontId="0" fillId="55" borderId="16" xfId="67" applyNumberFormat="1" applyFill="1" applyBorder="1" applyAlignment="1" applyProtection="1">
      <alignment horizontal="center" vertical="center"/>
      <protection/>
    </xf>
    <xf numFmtId="174" fontId="0" fillId="49" borderId="19" xfId="62" applyNumberFormat="1" applyFont="1" applyFill="1" applyBorder="1" applyAlignment="1" applyProtection="1">
      <alignment vertical="center"/>
      <protection/>
    </xf>
    <xf numFmtId="186" fontId="0" fillId="55" borderId="19" xfId="67" applyNumberFormat="1" applyFill="1" applyBorder="1" applyAlignment="1" applyProtection="1">
      <alignment horizontal="center" vertical="center"/>
      <protection/>
    </xf>
    <xf numFmtId="174" fontId="0" fillId="49" borderId="31" xfId="62" applyNumberFormat="1" applyFont="1" applyFill="1" applyBorder="1" applyAlignment="1" applyProtection="1">
      <alignment vertical="center"/>
      <protection/>
    </xf>
    <xf numFmtId="186" fontId="0" fillId="55" borderId="31" xfId="67" applyNumberFormat="1" applyFill="1" applyBorder="1" applyAlignment="1" applyProtection="1">
      <alignment horizontal="center" vertical="center"/>
      <protection/>
    </xf>
    <xf numFmtId="0" fontId="0" fillId="47" borderId="31" xfId="0" applyFill="1" applyBorder="1" applyAlignment="1" applyProtection="1">
      <alignment horizontal="left" vertical="center"/>
      <protection locked="0"/>
    </xf>
    <xf numFmtId="173" fontId="0" fillId="0" borderId="30" xfId="62" applyNumberFormat="1" applyFont="1" applyFill="1" applyBorder="1" applyAlignment="1" applyProtection="1">
      <alignment vertical="center"/>
      <protection/>
    </xf>
    <xf numFmtId="173" fontId="0" fillId="0" borderId="28" xfId="62" applyNumberFormat="1" applyFont="1" applyFill="1" applyBorder="1" applyAlignment="1" applyProtection="1">
      <alignment vertical="center"/>
      <protection/>
    </xf>
    <xf numFmtId="173" fontId="0" fillId="0" borderId="29" xfId="62" applyNumberFormat="1" applyFont="1" applyFill="1" applyBorder="1" applyAlignment="1" applyProtection="1">
      <alignment vertical="center"/>
      <protection/>
    </xf>
    <xf numFmtId="186" fontId="0" fillId="55" borderId="35" xfId="67" applyNumberFormat="1" applyFill="1" applyBorder="1" applyAlignment="1" applyProtection="1">
      <alignment horizontal="center" vertical="center"/>
      <protection/>
    </xf>
    <xf numFmtId="186" fontId="0" fillId="55" borderId="26" xfId="67" applyNumberFormat="1" applyFill="1" applyBorder="1" applyAlignment="1" applyProtection="1">
      <alignment horizontal="center" vertical="center"/>
      <protection/>
    </xf>
    <xf numFmtId="186" fontId="0" fillId="55" borderId="36" xfId="67" applyNumberFormat="1" applyFill="1" applyBorder="1" applyAlignment="1" applyProtection="1">
      <alignment horizontal="center" vertical="center"/>
      <protection/>
    </xf>
    <xf numFmtId="174" fontId="0" fillId="49" borderId="33" xfId="62" applyNumberFormat="1" applyFont="1" applyFill="1" applyBorder="1" applyAlignment="1" applyProtection="1">
      <alignment vertical="center"/>
      <protection/>
    </xf>
    <xf numFmtId="174" fontId="0" fillId="49" borderId="32" xfId="62" applyNumberFormat="1" applyFont="1" applyFill="1" applyBorder="1" applyAlignment="1" applyProtection="1">
      <alignment vertical="center"/>
      <protection/>
    </xf>
    <xf numFmtId="174" fontId="0" fillId="49" borderId="21" xfId="62" applyNumberFormat="1" applyFont="1" applyFill="1" applyBorder="1" applyAlignment="1" applyProtection="1">
      <alignment vertical="center"/>
      <protection/>
    </xf>
    <xf numFmtId="174" fontId="0" fillId="49" borderId="18" xfId="62" applyNumberFormat="1" applyFont="1" applyFill="1" applyBorder="1" applyAlignment="1" applyProtection="1">
      <alignment vertical="center"/>
      <protection/>
    </xf>
    <xf numFmtId="174" fontId="0" fillId="49" borderId="22" xfId="62" applyNumberFormat="1" applyFont="1" applyFill="1" applyBorder="1" applyAlignment="1" applyProtection="1">
      <alignment vertical="center"/>
      <protection/>
    </xf>
    <xf numFmtId="174" fontId="0" fillId="49" borderId="20" xfId="62" applyNumberFormat="1" applyFont="1" applyFill="1" applyBorder="1" applyAlignment="1" applyProtection="1">
      <alignment vertical="center"/>
      <protection/>
    </xf>
    <xf numFmtId="186" fontId="0" fillId="55" borderId="30" xfId="67" applyNumberFormat="1" applyFill="1" applyBorder="1" applyAlignment="1" applyProtection="1">
      <alignment horizontal="center" vertical="center"/>
      <protection/>
    </xf>
    <xf numFmtId="186" fontId="0" fillId="55" borderId="28" xfId="67" applyNumberFormat="1" applyFill="1" applyBorder="1" applyAlignment="1" applyProtection="1">
      <alignment horizontal="center" vertical="center"/>
      <protection/>
    </xf>
    <xf numFmtId="186" fontId="0" fillId="55" borderId="29" xfId="67" applyNumberFormat="1" applyFill="1" applyBorder="1" applyAlignment="1" applyProtection="1">
      <alignment horizontal="center" vertical="center"/>
      <protection/>
    </xf>
    <xf numFmtId="0" fontId="19" fillId="54" borderId="22" xfId="0" applyFont="1" applyFill="1" applyBorder="1" applyAlignment="1" applyProtection="1">
      <alignment horizontal="center" vertical="center"/>
      <protection/>
    </xf>
    <xf numFmtId="174" fontId="0" fillId="47" borderId="32" xfId="62" applyNumberFormat="1" applyFont="1" applyFill="1" applyBorder="1" applyAlignment="1" applyProtection="1">
      <alignment vertical="center"/>
      <protection locked="0"/>
    </xf>
    <xf numFmtId="174" fontId="0" fillId="47" borderId="18" xfId="62" applyNumberFormat="1" applyFont="1" applyFill="1" applyBorder="1" applyAlignment="1" applyProtection="1">
      <alignment vertical="center"/>
      <protection locked="0"/>
    </xf>
    <xf numFmtId="0" fontId="0" fillId="47" borderId="21" xfId="0" applyFont="1" applyFill="1" applyBorder="1" applyAlignment="1" applyProtection="1">
      <alignment horizontal="left" vertical="center"/>
      <protection locked="0"/>
    </xf>
    <xf numFmtId="0" fontId="0" fillId="47" borderId="22" xfId="0" applyFont="1" applyFill="1" applyBorder="1" applyAlignment="1" applyProtection="1">
      <alignment horizontal="left" vertical="center"/>
      <protection locked="0"/>
    </xf>
    <xf numFmtId="174" fontId="0" fillId="47" borderId="20" xfId="62" applyNumberFormat="1" applyFont="1" applyFill="1" applyBorder="1" applyAlignment="1" applyProtection="1">
      <alignment vertical="center"/>
      <protection locked="0"/>
    </xf>
    <xf numFmtId="174" fontId="0" fillId="47" borderId="30" xfId="62" applyNumberFormat="1" applyFont="1" applyFill="1" applyBorder="1" applyAlignment="1" applyProtection="1">
      <alignment vertical="center"/>
      <protection locked="0"/>
    </xf>
    <xf numFmtId="174" fontId="0" fillId="47" borderId="28" xfId="62" applyNumberFormat="1" applyFont="1" applyFill="1" applyBorder="1" applyAlignment="1" applyProtection="1">
      <alignment vertical="center"/>
      <protection locked="0"/>
    </xf>
    <xf numFmtId="174" fontId="0" fillId="47" borderId="29" xfId="62" applyNumberFormat="1" applyFont="1" applyFill="1" applyBorder="1" applyAlignment="1" applyProtection="1">
      <alignment vertical="center"/>
      <protection locked="0"/>
    </xf>
    <xf numFmtId="174" fontId="0" fillId="59" borderId="37" xfId="62" applyNumberFormat="1" applyFont="1" applyFill="1" applyBorder="1" applyAlignment="1" applyProtection="1">
      <alignment vertical="center"/>
      <protection/>
    </xf>
    <xf numFmtId="174" fontId="0" fillId="59" borderId="38" xfId="62" applyNumberFormat="1" applyFont="1" applyFill="1" applyBorder="1" applyAlignment="1" applyProtection="1">
      <alignment vertical="center"/>
      <protection/>
    </xf>
    <xf numFmtId="174" fontId="13" fillId="60" borderId="36" xfId="0" applyNumberFormat="1" applyFont="1" applyFill="1" applyBorder="1" applyAlignment="1" applyProtection="1">
      <alignment horizontal="center" vertical="center" wrapText="1"/>
      <protection/>
    </xf>
    <xf numFmtId="174" fontId="13" fillId="60" borderId="19" xfId="0" applyNumberFormat="1" applyFont="1" applyFill="1" applyBorder="1" applyAlignment="1" applyProtection="1">
      <alignment horizontal="center" vertical="center" wrapText="1"/>
      <protection/>
    </xf>
    <xf numFmtId="174" fontId="13" fillId="61" borderId="19" xfId="0" applyNumberFormat="1" applyFont="1" applyFill="1" applyBorder="1" applyAlignment="1" applyProtection="1">
      <alignment horizontal="center" vertical="center" wrapText="1"/>
      <protection/>
    </xf>
    <xf numFmtId="174" fontId="13" fillId="61" borderId="29" xfId="0" applyNumberFormat="1" applyFont="1" applyFill="1" applyBorder="1" applyAlignment="1" applyProtection="1">
      <alignment horizontal="center" vertical="center" wrapText="1"/>
      <protection/>
    </xf>
    <xf numFmtId="0" fontId="19" fillId="48" borderId="39" xfId="0" applyFont="1" applyFill="1" applyBorder="1" applyAlignment="1" applyProtection="1">
      <alignment horizontal="center" vertical="center"/>
      <protection locked="0"/>
    </xf>
    <xf numFmtId="0" fontId="0" fillId="47" borderId="19" xfId="0" applyFill="1" applyBorder="1" applyAlignment="1" applyProtection="1">
      <alignment horizontal="left" vertical="center"/>
      <protection locked="0"/>
    </xf>
    <xf numFmtId="184" fontId="0" fillId="47" borderId="31" xfId="62" applyNumberFormat="1" applyFont="1" applyFill="1" applyBorder="1" applyAlignment="1" applyProtection="1">
      <alignment vertical="center"/>
      <protection locked="0"/>
    </xf>
    <xf numFmtId="0" fontId="0" fillId="47" borderId="36" xfId="0" applyFill="1" applyBorder="1" applyAlignment="1" applyProtection="1">
      <alignment horizontal="left" vertical="center"/>
      <protection locked="0"/>
    </xf>
    <xf numFmtId="0" fontId="0" fillId="47" borderId="30" xfId="0" applyFill="1" applyBorder="1" applyAlignment="1" applyProtection="1">
      <alignment horizontal="left" vertical="center"/>
      <protection locked="0"/>
    </xf>
    <xf numFmtId="0" fontId="0" fillId="47" borderId="29" xfId="0" applyFill="1" applyBorder="1" applyAlignment="1" applyProtection="1">
      <alignment horizontal="left" vertical="center"/>
      <protection locked="0"/>
    </xf>
    <xf numFmtId="184" fontId="0" fillId="47" borderId="33" xfId="62" applyNumberFormat="1" applyFont="1" applyFill="1" applyBorder="1" applyAlignment="1" applyProtection="1">
      <alignment vertical="center"/>
      <protection locked="0"/>
    </xf>
    <xf numFmtId="184" fontId="0" fillId="47" borderId="21" xfId="62" applyNumberFormat="1" applyFont="1" applyFill="1" applyBorder="1" applyAlignment="1" applyProtection="1">
      <alignment vertical="center"/>
      <protection locked="0"/>
    </xf>
    <xf numFmtId="184" fontId="0" fillId="47" borderId="22" xfId="62" applyNumberFormat="1" applyFont="1" applyFill="1" applyBorder="1" applyAlignment="1" applyProtection="1">
      <alignment vertical="center"/>
      <protection locked="0"/>
    </xf>
    <xf numFmtId="0" fontId="13" fillId="62" borderId="40" xfId="0" applyFont="1" applyFill="1" applyBorder="1" applyAlignment="1" applyProtection="1">
      <alignment horizontal="center" vertical="center" wrapText="1"/>
      <protection/>
    </xf>
    <xf numFmtId="0" fontId="13" fillId="62" borderId="41" xfId="0" applyFont="1" applyFill="1" applyBorder="1" applyAlignment="1" applyProtection="1">
      <alignment horizontal="center" vertical="center" wrapText="1"/>
      <protection/>
    </xf>
    <xf numFmtId="0" fontId="13" fillId="62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9" fillId="48" borderId="42" xfId="0" applyFont="1" applyFill="1" applyBorder="1" applyAlignment="1" applyProtection="1">
      <alignment horizontal="center" vertical="center"/>
      <protection locked="0"/>
    </xf>
    <xf numFmtId="0" fontId="13" fillId="63" borderId="14" xfId="0" applyFont="1" applyFill="1" applyBorder="1" applyAlignment="1" applyProtection="1">
      <alignment horizontal="center" vertical="center"/>
      <protection/>
    </xf>
    <xf numFmtId="0" fontId="11" fillId="64" borderId="42" xfId="0" applyFont="1" applyFill="1" applyBorder="1" applyAlignment="1" applyProtection="1">
      <alignment horizontal="left" vertical="center"/>
      <protection/>
    </xf>
    <xf numFmtId="174" fontId="11" fillId="64" borderId="16" xfId="62" applyNumberFormat="1" applyFont="1" applyFill="1" applyBorder="1" applyAlignment="1" applyProtection="1">
      <alignment horizontal="center" vertical="center"/>
      <protection/>
    </xf>
    <xf numFmtId="174" fontId="11" fillId="15" borderId="16" xfId="62" applyNumberFormat="1" applyFont="1" applyFill="1" applyBorder="1" applyAlignment="1" applyProtection="1">
      <alignment vertical="center"/>
      <protection/>
    </xf>
    <xf numFmtId="0" fontId="13" fillId="65" borderId="13" xfId="0" applyFont="1" applyFill="1" applyBorder="1" applyAlignment="1" applyProtection="1">
      <alignment horizontal="center" vertical="center" wrapText="1"/>
      <protection/>
    </xf>
    <xf numFmtId="0" fontId="11" fillId="65" borderId="42" xfId="0" applyFont="1" applyFill="1" applyBorder="1" applyAlignment="1" applyProtection="1">
      <alignment horizontal="left" vertical="center"/>
      <protection/>
    </xf>
    <xf numFmtId="174" fontId="11" fillId="65" borderId="16" xfId="62" applyNumberFormat="1" applyFont="1" applyFill="1" applyBorder="1" applyAlignment="1" applyProtection="1">
      <alignment horizontal="center" vertical="center"/>
      <protection/>
    </xf>
    <xf numFmtId="174" fontId="11" fillId="66" borderId="16" xfId="62" applyNumberFormat="1" applyFont="1" applyFill="1" applyBorder="1" applyAlignment="1" applyProtection="1">
      <alignment vertical="center"/>
      <protection/>
    </xf>
    <xf numFmtId="174" fontId="11" fillId="65" borderId="43" xfId="62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Border="1" applyAlignment="1" applyProtection="1">
      <alignment horizontal="center" vertical="center" wrapText="1"/>
      <protection/>
    </xf>
    <xf numFmtId="181" fontId="16" fillId="0" borderId="42" xfId="0" applyNumberFormat="1" applyFont="1" applyBorder="1" applyAlignment="1" applyProtection="1">
      <alignment horizontal="left"/>
      <protection/>
    </xf>
    <xf numFmtId="174" fontId="16" fillId="1" borderId="16" xfId="62" applyNumberFormat="1" applyFont="1" applyFill="1" applyBorder="1" applyAlignment="1" applyProtection="1">
      <alignment vertical="center"/>
      <protection/>
    </xf>
    <xf numFmtId="182" fontId="16" fillId="1" borderId="16" xfId="60" applyNumberFormat="1" applyFont="1" applyFill="1" applyBorder="1" applyAlignment="1" applyProtection="1">
      <alignment vertical="center"/>
      <protection/>
    </xf>
    <xf numFmtId="174" fontId="16" fillId="67" borderId="16" xfId="62" applyNumberFormat="1" applyFont="1" applyFill="1" applyBorder="1" applyAlignment="1" applyProtection="1">
      <alignment vertical="center"/>
      <protection/>
    </xf>
    <xf numFmtId="174" fontId="11" fillId="68" borderId="44" xfId="62" applyNumberFormat="1" applyFont="1" applyFill="1" applyBorder="1" applyAlignment="1" applyProtection="1">
      <alignment vertical="center"/>
      <protection/>
    </xf>
    <xf numFmtId="174" fontId="16" fillId="49" borderId="16" xfId="62" applyNumberFormat="1" applyFont="1" applyFill="1" applyBorder="1" applyAlignment="1" applyProtection="1">
      <alignment vertical="center"/>
      <protection/>
    </xf>
    <xf numFmtId="1" fontId="0" fillId="0" borderId="45" xfId="0" applyNumberFormat="1" applyBorder="1" applyAlignment="1" applyProtection="1">
      <alignment horizontal="center"/>
      <protection/>
    </xf>
    <xf numFmtId="1" fontId="0" fillId="0" borderId="46" xfId="0" applyNumberFormat="1" applyBorder="1" applyAlignment="1" applyProtection="1">
      <alignment/>
      <protection/>
    </xf>
    <xf numFmtId="181" fontId="78" fillId="0" borderId="42" xfId="0" applyNumberFormat="1" applyFont="1" applyBorder="1" applyAlignment="1" applyProtection="1">
      <alignment horizontal="left"/>
      <protection/>
    </xf>
    <xf numFmtId="174" fontId="11" fillId="64" borderId="18" xfId="62" applyNumberFormat="1" applyFont="1" applyFill="1" applyBorder="1" applyAlignment="1" applyProtection="1">
      <alignment horizontal="center" vertical="center"/>
      <protection/>
    </xf>
    <xf numFmtId="174" fontId="11" fillId="3" borderId="16" xfId="62" applyNumberFormat="1" applyFont="1" applyFill="1" applyBorder="1" applyAlignment="1" applyProtection="1">
      <alignment vertical="center"/>
      <protection/>
    </xf>
    <xf numFmtId="174" fontId="11" fillId="65" borderId="16" xfId="62" applyNumberFormat="1" applyFont="1" applyFill="1" applyBorder="1" applyAlignment="1" applyProtection="1">
      <alignment vertical="center"/>
      <protection/>
    </xf>
    <xf numFmtId="174" fontId="11" fillId="65" borderId="44" xfId="62" applyNumberFormat="1" applyFont="1" applyFill="1" applyBorder="1" applyAlignment="1" applyProtection="1">
      <alignment vertical="center"/>
      <protection/>
    </xf>
    <xf numFmtId="169" fontId="11" fillId="3" borderId="16" xfId="61" applyFont="1" applyFill="1" applyBorder="1" applyAlignment="1" applyProtection="1">
      <alignment vertical="center"/>
      <protection/>
    </xf>
    <xf numFmtId="1" fontId="0" fillId="69" borderId="13" xfId="0" applyNumberFormat="1" applyFill="1" applyBorder="1" applyAlignment="1" applyProtection="1">
      <alignment horizontal="center" vertical="center" wrapText="1"/>
      <protection/>
    </xf>
    <xf numFmtId="174" fontId="13" fillId="69" borderId="16" xfId="62" applyNumberFormat="1" applyFont="1" applyFill="1" applyBorder="1" applyAlignment="1" applyProtection="1">
      <alignment horizontal="center" vertical="center"/>
      <protection/>
    </xf>
    <xf numFmtId="174" fontId="0" fillId="68" borderId="16" xfId="62" applyNumberFormat="1" applyFont="1" applyFill="1" applyBorder="1" applyAlignment="1" applyProtection="1">
      <alignment vertical="center"/>
      <protection/>
    </xf>
    <xf numFmtId="1" fontId="0" fillId="0" borderId="17" xfId="0" applyNumberFormat="1" applyBorder="1" applyAlignment="1" applyProtection="1">
      <alignment horizontal="center" vertical="center" wrapText="1"/>
      <protection/>
    </xf>
    <xf numFmtId="181" fontId="16" fillId="0" borderId="47" xfId="0" applyNumberFormat="1" applyFont="1" applyBorder="1" applyAlignment="1" applyProtection="1">
      <alignment horizontal="left"/>
      <protection/>
    </xf>
    <xf numFmtId="174" fontId="11" fillId="68" borderId="48" xfId="62" applyNumberFormat="1" applyFont="1" applyFill="1" applyBorder="1" applyAlignment="1" applyProtection="1">
      <alignment vertical="center"/>
      <protection/>
    </xf>
    <xf numFmtId="0" fontId="13" fillId="69" borderId="16" xfId="0" applyFont="1" applyFill="1" applyBorder="1" applyAlignment="1" applyProtection="1">
      <alignment horizontal="center" vertical="center"/>
      <protection/>
    </xf>
    <xf numFmtId="187" fontId="0" fillId="68" borderId="16" xfId="62" applyNumberFormat="1" applyFill="1" applyBorder="1" applyProtection="1">
      <alignment/>
      <protection/>
    </xf>
    <xf numFmtId="174" fontId="0" fillId="8" borderId="16" xfId="62" applyNumberFormat="1" applyFont="1" applyFill="1" applyBorder="1" applyAlignment="1" applyProtection="1">
      <alignment vertical="center"/>
      <protection locked="0"/>
    </xf>
    <xf numFmtId="174" fontId="0" fillId="0" borderId="16" xfId="62" applyNumberFormat="1" applyFont="1" applyFill="1" applyBorder="1" applyAlignment="1" applyProtection="1">
      <alignment vertical="center"/>
      <protection/>
    </xf>
    <xf numFmtId="179" fontId="0" fillId="0" borderId="16" xfId="60" applyNumberFormat="1" applyFont="1" applyFill="1" applyBorder="1" applyAlignment="1" applyProtection="1">
      <alignment vertical="center"/>
      <protection/>
    </xf>
    <xf numFmtId="174" fontId="0" fillId="0" borderId="21" xfId="62" applyNumberFormat="1" applyFont="1" applyFill="1" applyBorder="1" applyAlignment="1" applyProtection="1">
      <alignment vertical="center"/>
      <protection/>
    </xf>
    <xf numFmtId="174" fontId="0" fillId="0" borderId="18" xfId="62" applyNumberFormat="1" applyFont="1" applyFill="1" applyBorder="1" applyAlignment="1" applyProtection="1">
      <alignment vertical="center"/>
      <protection/>
    </xf>
    <xf numFmtId="179" fontId="0" fillId="47" borderId="28" xfId="60" applyNumberFormat="1" applyFont="1" applyFill="1" applyBorder="1" applyAlignment="1" applyProtection="1">
      <alignment vertical="center"/>
      <protection locked="0"/>
    </xf>
    <xf numFmtId="174" fontId="0" fillId="0" borderId="18" xfId="0" applyNumberFormat="1" applyFont="1" applyFill="1" applyBorder="1" applyAlignment="1" applyProtection="1">
      <alignment vertical="center"/>
      <protection/>
    </xf>
    <xf numFmtId="174" fontId="13" fillId="0" borderId="20" xfId="62" applyNumberFormat="1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175" fontId="0" fillId="0" borderId="0" xfId="67" applyFont="1" applyFill="1" applyBorder="1" applyAlignment="1" applyProtection="1">
      <alignment horizontal="center" vertical="center"/>
      <protection/>
    </xf>
    <xf numFmtId="174" fontId="10" fillId="70" borderId="49" xfId="0" applyNumberFormat="1" applyFont="1" applyFill="1" applyBorder="1" applyAlignment="1" applyProtection="1">
      <alignment horizontal="center" vertical="center" wrapText="1"/>
      <protection/>
    </xf>
    <xf numFmtId="0" fontId="10" fillId="70" borderId="49" xfId="0" applyFont="1" applyFill="1" applyBorder="1" applyAlignment="1" applyProtection="1">
      <alignment horizontal="center" vertical="center" wrapText="1"/>
      <protection/>
    </xf>
    <xf numFmtId="174" fontId="0" fillId="8" borderId="19" xfId="62" applyNumberFormat="1" applyFont="1" applyFill="1" applyBorder="1" applyAlignment="1" applyProtection="1">
      <alignment vertical="center"/>
      <protection/>
    </xf>
    <xf numFmtId="174" fontId="13" fillId="8" borderId="19" xfId="62" applyNumberFormat="1" applyFont="1" applyFill="1" applyBorder="1" applyAlignment="1" applyProtection="1">
      <alignment vertical="center"/>
      <protection/>
    </xf>
    <xf numFmtId="174" fontId="0" fillId="71" borderId="19" xfId="62" applyNumberFormat="1" applyFont="1" applyFill="1" applyBorder="1" applyAlignment="1" applyProtection="1">
      <alignment vertical="center"/>
      <protection/>
    </xf>
    <xf numFmtId="0" fontId="10" fillId="72" borderId="49" xfId="0" applyFont="1" applyFill="1" applyBorder="1" applyAlignment="1" applyProtection="1">
      <alignment horizontal="center" vertical="center" wrapText="1"/>
      <protection/>
    </xf>
    <xf numFmtId="0" fontId="79" fillId="70" borderId="50" xfId="0" applyFont="1" applyFill="1" applyBorder="1" applyAlignment="1" applyProtection="1">
      <alignment horizontal="center" vertical="center" wrapText="1"/>
      <protection/>
    </xf>
    <xf numFmtId="174" fontId="13" fillId="73" borderId="18" xfId="0" applyNumberFormat="1" applyFont="1" applyFill="1" applyBorder="1" applyAlignment="1" applyProtection="1">
      <alignment vertical="center"/>
      <protection/>
    </xf>
    <xf numFmtId="174" fontId="13" fillId="73" borderId="26" xfId="62" applyNumberFormat="1" applyFont="1" applyFill="1" applyBorder="1" applyAlignment="1" applyProtection="1">
      <alignment vertical="center"/>
      <protection/>
    </xf>
    <xf numFmtId="174" fontId="13" fillId="73" borderId="16" xfId="62" applyNumberFormat="1" applyFont="1" applyFill="1" applyBorder="1" applyAlignment="1" applyProtection="1">
      <alignment vertical="center"/>
      <protection/>
    </xf>
    <xf numFmtId="174" fontId="13" fillId="73" borderId="28" xfId="62" applyNumberFormat="1" applyFont="1" applyFill="1" applyBorder="1" applyAlignment="1" applyProtection="1">
      <alignment vertical="center"/>
      <protection/>
    </xf>
    <xf numFmtId="174" fontId="13" fillId="73" borderId="21" xfId="62" applyNumberFormat="1" applyFont="1" applyFill="1" applyBorder="1" applyAlignment="1" applyProtection="1">
      <alignment vertical="center"/>
      <protection/>
    </xf>
    <xf numFmtId="174" fontId="13" fillId="73" borderId="18" xfId="62" applyNumberFormat="1" applyFont="1" applyFill="1" applyBorder="1" applyAlignment="1" applyProtection="1">
      <alignment vertical="center"/>
      <protection/>
    </xf>
    <xf numFmtId="174" fontId="13" fillId="73" borderId="51" xfId="62" applyNumberFormat="1" applyFont="1" applyFill="1" applyBorder="1" applyAlignment="1" applyProtection="1">
      <alignment horizontal="right" vertical="center"/>
      <protection/>
    </xf>
    <xf numFmtId="174" fontId="13" fillId="74" borderId="36" xfId="62" applyNumberFormat="1" applyFont="1" applyFill="1" applyBorder="1" applyAlignment="1" applyProtection="1">
      <alignment horizontal="center" vertical="center" wrapText="1"/>
      <protection/>
    </xf>
    <xf numFmtId="174" fontId="13" fillId="74" borderId="19" xfId="62" applyNumberFormat="1" applyFont="1" applyFill="1" applyBorder="1" applyAlignment="1" applyProtection="1">
      <alignment horizontal="center" vertical="center" wrapText="1"/>
      <protection/>
    </xf>
    <xf numFmtId="174" fontId="13" fillId="74" borderId="29" xfId="62" applyNumberFormat="1" applyFont="1" applyFill="1" applyBorder="1" applyAlignment="1" applyProtection="1">
      <alignment horizontal="center" vertical="center" wrapText="1"/>
      <protection/>
    </xf>
    <xf numFmtId="174" fontId="13" fillId="74" borderId="22" xfId="62" applyNumberFormat="1" applyFont="1" applyFill="1" applyBorder="1" applyAlignment="1" applyProtection="1">
      <alignment horizontal="center" vertical="center" wrapText="1"/>
      <protection/>
    </xf>
    <xf numFmtId="174" fontId="13" fillId="74" borderId="20" xfId="62" applyNumberFormat="1" applyFont="1" applyFill="1" applyBorder="1" applyAlignment="1" applyProtection="1">
      <alignment horizontal="center" vertical="center" wrapText="1"/>
      <protection/>
    </xf>
    <xf numFmtId="174" fontId="13" fillId="74" borderId="52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172" fontId="13" fillId="0" borderId="0" xfId="62" applyFont="1" applyAlignment="1" applyProtection="1">
      <alignment vertical="center"/>
      <protection/>
    </xf>
    <xf numFmtId="177" fontId="13" fillId="0" borderId="0" xfId="0" applyNumberFormat="1" applyFont="1" applyAlignment="1" applyProtection="1">
      <alignment vertical="center"/>
      <protection/>
    </xf>
    <xf numFmtId="174" fontId="13" fillId="57" borderId="26" xfId="0" applyNumberFormat="1" applyFont="1" applyFill="1" applyBorder="1" applyAlignment="1" applyProtection="1">
      <alignment horizontal="center" vertical="center" wrapText="1"/>
      <protection/>
    </xf>
    <xf numFmtId="174" fontId="13" fillId="57" borderId="16" xfId="0" applyNumberFormat="1" applyFont="1" applyFill="1" applyBorder="1" applyAlignment="1" applyProtection="1">
      <alignment horizontal="center" vertical="center" wrapText="1"/>
      <protection/>
    </xf>
    <xf numFmtId="174" fontId="13" fillId="57" borderId="28" xfId="0" applyNumberFormat="1" applyFont="1" applyFill="1" applyBorder="1" applyAlignment="1" applyProtection="1">
      <alignment horizontal="center" vertical="center" wrapText="1"/>
      <protection/>
    </xf>
    <xf numFmtId="174" fontId="13" fillId="57" borderId="21" xfId="0" applyNumberFormat="1" applyFont="1" applyFill="1" applyBorder="1" applyAlignment="1" applyProtection="1">
      <alignment horizontal="center" vertical="center" wrapText="1"/>
      <protection/>
    </xf>
    <xf numFmtId="174" fontId="13" fillId="57" borderId="18" xfId="0" applyNumberFormat="1" applyFont="1" applyFill="1" applyBorder="1" applyAlignment="1" applyProtection="1">
      <alignment horizontal="center" vertical="center" wrapText="1"/>
      <protection/>
    </xf>
    <xf numFmtId="174" fontId="0" fillId="0" borderId="26" xfId="62" applyNumberFormat="1" applyFont="1" applyFill="1" applyBorder="1" applyAlignment="1" applyProtection="1">
      <alignment vertical="center"/>
      <protection/>
    </xf>
    <xf numFmtId="174" fontId="0" fillId="0" borderId="28" xfId="62" applyNumberFormat="1" applyFont="1" applyFill="1" applyBorder="1" applyAlignment="1" applyProtection="1">
      <alignment vertical="center"/>
      <protection/>
    </xf>
    <xf numFmtId="179" fontId="0" fillId="0" borderId="26" xfId="60" applyNumberFormat="1" applyFont="1" applyFill="1" applyBorder="1" applyAlignment="1" applyProtection="1">
      <alignment vertical="center"/>
      <protection/>
    </xf>
    <xf numFmtId="179" fontId="0" fillId="0" borderId="28" xfId="60" applyNumberFormat="1" applyFont="1" applyFill="1" applyBorder="1" applyAlignment="1" applyProtection="1">
      <alignment vertical="center"/>
      <protection/>
    </xf>
    <xf numFmtId="179" fontId="0" fillId="0" borderId="21" xfId="60" applyNumberFormat="1" applyFont="1" applyFill="1" applyBorder="1" applyAlignment="1" applyProtection="1">
      <alignment vertical="center"/>
      <protection/>
    </xf>
    <xf numFmtId="179" fontId="0" fillId="0" borderId="18" xfId="60" applyNumberFormat="1" applyFont="1" applyFill="1" applyBorder="1" applyAlignment="1" applyProtection="1">
      <alignment vertical="center"/>
      <protection/>
    </xf>
    <xf numFmtId="174" fontId="0" fillId="69" borderId="28" xfId="62" applyNumberFormat="1" applyFont="1" applyFill="1" applyBorder="1" applyAlignment="1" applyProtection="1">
      <alignment vertical="center"/>
      <protection/>
    </xf>
    <xf numFmtId="174" fontId="0" fillId="50" borderId="16" xfId="62" applyNumberFormat="1" applyFont="1" applyFill="1" applyBorder="1" applyAlignment="1" applyProtection="1">
      <alignment vertical="center"/>
      <protection/>
    </xf>
    <xf numFmtId="165" fontId="0" fillId="50" borderId="16" xfId="62" applyNumberFormat="1" applyFont="1" applyFill="1" applyBorder="1" applyAlignment="1" applyProtection="1">
      <alignment vertical="center"/>
      <protection/>
    </xf>
    <xf numFmtId="174" fontId="0" fillId="50" borderId="19" xfId="62" applyNumberFormat="1" applyFont="1" applyFill="1" applyBorder="1" applyAlignment="1" applyProtection="1">
      <alignment vertical="center"/>
      <protection/>
    </xf>
    <xf numFmtId="165" fontId="0" fillId="50" borderId="19" xfId="62" applyNumberFormat="1" applyFont="1" applyFill="1" applyBorder="1" applyAlignment="1" applyProtection="1">
      <alignment vertical="center"/>
      <protection/>
    </xf>
    <xf numFmtId="174" fontId="0" fillId="50" borderId="31" xfId="62" applyNumberFormat="1" applyFont="1" applyFill="1" applyBorder="1" applyAlignment="1" applyProtection="1">
      <alignment vertical="center"/>
      <protection/>
    </xf>
    <xf numFmtId="165" fontId="0" fillId="50" borderId="31" xfId="62" applyNumberFormat="1" applyFont="1" applyFill="1" applyBorder="1" applyAlignment="1" applyProtection="1">
      <alignment vertical="center"/>
      <protection/>
    </xf>
    <xf numFmtId="174" fontId="13" fillId="41" borderId="19" xfId="0" applyNumberFormat="1" applyFont="1" applyFill="1" applyBorder="1" applyAlignment="1" applyProtection="1">
      <alignment horizontal="center" vertical="center" wrapText="1"/>
      <protection locked="0"/>
    </xf>
    <xf numFmtId="174" fontId="13" fillId="41" borderId="20" xfId="0" applyNumberFormat="1" applyFont="1" applyFill="1" applyBorder="1" applyAlignment="1" applyProtection="1">
      <alignment horizontal="center" vertical="center" wrapText="1"/>
      <protection locked="0"/>
    </xf>
    <xf numFmtId="174" fontId="13" fillId="41" borderId="29" xfId="0" applyNumberFormat="1" applyFont="1" applyFill="1" applyBorder="1" applyAlignment="1" applyProtection="1">
      <alignment horizontal="center" vertical="center" wrapText="1"/>
      <protection locked="0"/>
    </xf>
    <xf numFmtId="174" fontId="13" fillId="41" borderId="36" xfId="0" applyNumberFormat="1" applyFont="1" applyFill="1" applyBorder="1" applyAlignment="1" applyProtection="1">
      <alignment horizontal="center" vertical="center" wrapText="1"/>
      <protection locked="0"/>
    </xf>
    <xf numFmtId="174" fontId="0" fillId="50" borderId="33" xfId="62" applyNumberFormat="1" applyFont="1" applyFill="1" applyBorder="1" applyAlignment="1" applyProtection="1">
      <alignment vertical="center"/>
      <protection/>
    </xf>
    <xf numFmtId="174" fontId="0" fillId="50" borderId="32" xfId="62" applyNumberFormat="1" applyFont="1" applyFill="1" applyBorder="1" applyAlignment="1" applyProtection="1">
      <alignment vertical="center"/>
      <protection/>
    </xf>
    <xf numFmtId="174" fontId="0" fillId="50" borderId="21" xfId="62" applyNumberFormat="1" applyFont="1" applyFill="1" applyBorder="1" applyAlignment="1" applyProtection="1">
      <alignment vertical="center"/>
      <protection/>
    </xf>
    <xf numFmtId="174" fontId="0" fillId="50" borderId="18" xfId="62" applyNumberFormat="1" applyFont="1" applyFill="1" applyBorder="1" applyAlignment="1" applyProtection="1">
      <alignment vertical="center"/>
      <protection/>
    </xf>
    <xf numFmtId="174" fontId="0" fillId="50" borderId="22" xfId="62" applyNumberFormat="1" applyFont="1" applyFill="1" applyBorder="1" applyAlignment="1" applyProtection="1">
      <alignment vertical="center"/>
      <protection/>
    </xf>
    <xf numFmtId="174" fontId="0" fillId="50" borderId="20" xfId="62" applyNumberFormat="1" applyFont="1" applyFill="1" applyBorder="1" applyAlignment="1" applyProtection="1">
      <alignment vertical="center"/>
      <protection/>
    </xf>
    <xf numFmtId="174" fontId="13" fillId="41" borderId="22" xfId="0" applyNumberFormat="1" applyFont="1" applyFill="1" applyBorder="1" applyAlignment="1" applyProtection="1">
      <alignment horizontal="center" vertical="center" wrapText="1"/>
      <protection locked="0"/>
    </xf>
    <xf numFmtId="165" fontId="0" fillId="50" borderId="33" xfId="62" applyNumberFormat="1" applyFont="1" applyFill="1" applyBorder="1" applyAlignment="1" applyProtection="1">
      <alignment vertical="center"/>
      <protection/>
    </xf>
    <xf numFmtId="165" fontId="0" fillId="50" borderId="32" xfId="62" applyNumberFormat="1" applyFont="1" applyFill="1" applyBorder="1" applyAlignment="1" applyProtection="1">
      <alignment vertical="center"/>
      <protection/>
    </xf>
    <xf numFmtId="165" fontId="0" fillId="50" borderId="18" xfId="62" applyNumberFormat="1" applyFont="1" applyFill="1" applyBorder="1" applyAlignment="1" applyProtection="1">
      <alignment vertical="center"/>
      <protection/>
    </xf>
    <xf numFmtId="165" fontId="0" fillId="50" borderId="20" xfId="62" applyNumberFormat="1" applyFont="1" applyFill="1" applyBorder="1" applyAlignment="1" applyProtection="1">
      <alignment vertical="center"/>
      <protection/>
    </xf>
    <xf numFmtId="9" fontId="0" fillId="69" borderId="35" xfId="0" applyNumberFormat="1" applyFont="1" applyFill="1" applyBorder="1" applyAlignment="1" applyProtection="1">
      <alignment horizontal="center" vertical="center"/>
      <protection/>
    </xf>
    <xf numFmtId="9" fontId="0" fillId="69" borderId="31" xfId="0" applyNumberFormat="1" applyFont="1" applyFill="1" applyBorder="1" applyAlignment="1" applyProtection="1">
      <alignment horizontal="center" vertical="center"/>
      <protection/>
    </xf>
    <xf numFmtId="9" fontId="0" fillId="69" borderId="32" xfId="0" applyNumberFormat="1" applyFont="1" applyFill="1" applyBorder="1" applyAlignment="1" applyProtection="1">
      <alignment horizontal="center" vertical="center"/>
      <protection/>
    </xf>
    <xf numFmtId="9" fontId="0" fillId="69" borderId="26" xfId="0" applyNumberFormat="1" applyFont="1" applyFill="1" applyBorder="1" applyAlignment="1" applyProtection="1">
      <alignment horizontal="center" vertical="center"/>
      <protection/>
    </xf>
    <xf numFmtId="9" fontId="0" fillId="69" borderId="16" xfId="0" applyNumberFormat="1" applyFont="1" applyFill="1" applyBorder="1" applyAlignment="1" applyProtection="1">
      <alignment horizontal="center" vertical="center"/>
      <protection/>
    </xf>
    <xf numFmtId="9" fontId="0" fillId="69" borderId="18" xfId="0" applyNumberFormat="1" applyFont="1" applyFill="1" applyBorder="1" applyAlignment="1" applyProtection="1">
      <alignment horizontal="center" vertical="center"/>
      <protection/>
    </xf>
    <xf numFmtId="9" fontId="0" fillId="69" borderId="36" xfId="0" applyNumberFormat="1" applyFont="1" applyFill="1" applyBorder="1" applyAlignment="1" applyProtection="1">
      <alignment horizontal="center" vertical="center"/>
      <protection/>
    </xf>
    <xf numFmtId="9" fontId="0" fillId="69" borderId="19" xfId="0" applyNumberFormat="1" applyFont="1" applyFill="1" applyBorder="1" applyAlignment="1" applyProtection="1">
      <alignment horizontal="center" vertical="center"/>
      <protection/>
    </xf>
    <xf numFmtId="9" fontId="0" fillId="69" borderId="20" xfId="0" applyNumberFormat="1" applyFont="1" applyFill="1" applyBorder="1" applyAlignment="1" applyProtection="1">
      <alignment horizontal="center" vertical="center"/>
      <protection/>
    </xf>
    <xf numFmtId="174" fontId="0" fillId="69" borderId="35" xfId="62" applyNumberFormat="1" applyFont="1" applyFill="1" applyBorder="1" applyAlignment="1" applyProtection="1">
      <alignment vertical="center"/>
      <protection/>
    </xf>
    <xf numFmtId="174" fontId="0" fillId="69" borderId="31" xfId="62" applyNumberFormat="1" applyFont="1" applyFill="1" applyBorder="1" applyAlignment="1" applyProtection="1">
      <alignment vertical="center"/>
      <protection/>
    </xf>
    <xf numFmtId="174" fontId="0" fillId="69" borderId="30" xfId="62" applyNumberFormat="1" applyFont="1" applyFill="1" applyBorder="1" applyAlignment="1" applyProtection="1">
      <alignment vertical="center"/>
      <protection/>
    </xf>
    <xf numFmtId="174" fontId="0" fillId="69" borderId="26" xfId="62" applyNumberFormat="1" applyFont="1" applyFill="1" applyBorder="1" applyAlignment="1" applyProtection="1">
      <alignment vertical="center"/>
      <protection/>
    </xf>
    <xf numFmtId="174" fontId="0" fillId="69" borderId="16" xfId="62" applyNumberFormat="1" applyFont="1" applyFill="1" applyBorder="1" applyAlignment="1" applyProtection="1">
      <alignment vertical="center"/>
      <protection/>
    </xf>
    <xf numFmtId="174" fontId="0" fillId="69" borderId="28" xfId="62" applyNumberFormat="1" applyFont="1" applyFill="1" applyBorder="1" applyAlignment="1" applyProtection="1">
      <alignment vertical="center"/>
      <protection/>
    </xf>
    <xf numFmtId="174" fontId="0" fillId="69" borderId="36" xfId="62" applyNumberFormat="1" applyFont="1" applyFill="1" applyBorder="1" applyAlignment="1" applyProtection="1">
      <alignment vertical="center"/>
      <protection/>
    </xf>
    <xf numFmtId="174" fontId="0" fillId="69" borderId="19" xfId="62" applyNumberFormat="1" applyFont="1" applyFill="1" applyBorder="1" applyAlignment="1" applyProtection="1">
      <alignment vertical="center"/>
      <protection/>
    </xf>
    <xf numFmtId="174" fontId="0" fillId="69" borderId="29" xfId="62" applyNumberFormat="1" applyFont="1" applyFill="1" applyBorder="1" applyAlignment="1" applyProtection="1">
      <alignment vertical="center"/>
      <protection/>
    </xf>
    <xf numFmtId="183" fontId="0" fillId="8" borderId="53" xfId="0" applyNumberFormat="1" applyFont="1" applyFill="1" applyBorder="1" applyAlignment="1" applyProtection="1">
      <alignment vertical="center"/>
      <protection/>
    </xf>
    <xf numFmtId="183" fontId="0" fillId="8" borderId="33" xfId="0" applyNumberFormat="1" applyFont="1" applyFill="1" applyBorder="1" applyAlignment="1" applyProtection="1">
      <alignment horizontal="right" vertical="center"/>
      <protection/>
    </xf>
    <xf numFmtId="183" fontId="0" fillId="8" borderId="54" xfId="0" applyNumberFormat="1" applyFont="1" applyFill="1" applyBorder="1" applyAlignment="1" applyProtection="1">
      <alignment vertical="center"/>
      <protection/>
    </xf>
    <xf numFmtId="183" fontId="0" fillId="8" borderId="21" xfId="0" applyNumberFormat="1" applyFont="1" applyFill="1" applyBorder="1" applyAlignment="1" applyProtection="1">
      <alignment horizontal="right" vertical="center"/>
      <protection/>
    </xf>
    <xf numFmtId="183" fontId="0" fillId="8" borderId="55" xfId="0" applyNumberFormat="1" applyFont="1" applyFill="1" applyBorder="1" applyAlignment="1" applyProtection="1">
      <alignment vertical="center"/>
      <protection/>
    </xf>
    <xf numFmtId="183" fontId="0" fillId="8" borderId="56" xfId="0" applyNumberFormat="1" applyFont="1" applyFill="1" applyBorder="1" applyAlignment="1" applyProtection="1">
      <alignment vertical="center"/>
      <protection/>
    </xf>
    <xf numFmtId="183" fontId="0" fillId="8" borderId="22" xfId="0" applyNumberFormat="1" applyFont="1" applyFill="1" applyBorder="1" applyAlignment="1" applyProtection="1">
      <alignment horizontal="right" vertical="center"/>
      <protection/>
    </xf>
    <xf numFmtId="183" fontId="18" fillId="8" borderId="57" xfId="0" applyNumberFormat="1" applyFont="1" applyFill="1" applyBorder="1" applyAlignment="1" applyProtection="1">
      <alignment horizontal="center" vertical="center"/>
      <protection/>
    </xf>
    <xf numFmtId="183" fontId="19" fillId="8" borderId="58" xfId="0" applyNumberFormat="1" applyFont="1" applyFill="1" applyBorder="1" applyAlignment="1" applyProtection="1">
      <alignment vertical="center"/>
      <protection/>
    </xf>
    <xf numFmtId="9" fontId="0" fillId="48" borderId="27" xfId="62" applyNumberFormat="1" applyFont="1" applyFill="1" applyBorder="1" applyAlignment="1" applyProtection="1">
      <alignment horizontal="center" vertical="center"/>
      <protection locked="0"/>
    </xf>
    <xf numFmtId="9" fontId="0" fillId="49" borderId="49" xfId="62" applyNumberFormat="1" applyFont="1" applyFill="1" applyBorder="1" applyAlignment="1" applyProtection="1">
      <alignment horizontal="center" vertical="center"/>
      <protection/>
    </xf>
    <xf numFmtId="9" fontId="0" fillId="49" borderId="50" xfId="62" applyNumberFormat="1" applyFont="1" applyFill="1" applyBorder="1" applyAlignment="1" applyProtection="1">
      <alignment horizontal="center" vertical="center"/>
      <protection/>
    </xf>
    <xf numFmtId="9" fontId="0" fillId="49" borderId="34" xfId="62" applyNumberFormat="1" applyFont="1" applyFill="1" applyBorder="1" applyAlignment="1" applyProtection="1">
      <alignment horizontal="center" vertical="center"/>
      <protection/>
    </xf>
    <xf numFmtId="9" fontId="0" fillId="49" borderId="58" xfId="62" applyNumberFormat="1" applyFont="1" applyFill="1" applyBorder="1" applyAlignment="1" applyProtection="1">
      <alignment horizontal="center" vertical="center"/>
      <protection/>
    </xf>
    <xf numFmtId="174" fontId="0" fillId="48" borderId="19" xfId="62" applyNumberFormat="1" applyFont="1" applyFill="1" applyBorder="1" applyAlignment="1" applyProtection="1">
      <alignment vertical="center"/>
      <protection locked="0"/>
    </xf>
    <xf numFmtId="0" fontId="31" fillId="39" borderId="59" xfId="0" applyFont="1" applyFill="1" applyBorder="1" applyAlignment="1" applyProtection="1">
      <alignment/>
      <protection locked="0"/>
    </xf>
    <xf numFmtId="0" fontId="31" fillId="39" borderId="60" xfId="0" applyFont="1" applyFill="1" applyBorder="1" applyAlignment="1" applyProtection="1">
      <alignment/>
      <protection locked="0"/>
    </xf>
    <xf numFmtId="0" fontId="31" fillId="39" borderId="61" xfId="0" applyFont="1" applyFill="1" applyBorder="1" applyAlignment="1" applyProtection="1">
      <alignment/>
      <protection locked="0"/>
    </xf>
    <xf numFmtId="0" fontId="31" fillId="39" borderId="12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81" fontId="16" fillId="48" borderId="62" xfId="0" applyNumberFormat="1" applyFont="1" applyFill="1" applyBorder="1" applyAlignment="1" applyProtection="1">
      <alignment horizontal="left"/>
      <protection/>
    </xf>
    <xf numFmtId="0" fontId="0" fillId="75" borderId="63" xfId="0" applyFont="1" applyFill="1" applyBorder="1" applyAlignment="1" applyProtection="1">
      <alignment horizontal="left" vertical="center"/>
      <protection locked="0"/>
    </xf>
    <xf numFmtId="0" fontId="0" fillId="75" borderId="64" xfId="0" applyFont="1" applyFill="1" applyBorder="1" applyAlignment="1" applyProtection="1">
      <alignment horizontal="left" vertical="center"/>
      <protection locked="0"/>
    </xf>
    <xf numFmtId="0" fontId="0" fillId="75" borderId="65" xfId="0" applyFont="1" applyFill="1" applyBorder="1" applyAlignment="1" applyProtection="1">
      <alignment horizontal="left" vertical="center"/>
      <protection locked="0"/>
    </xf>
    <xf numFmtId="0" fontId="0" fillId="75" borderId="66" xfId="0" applyFont="1" applyFill="1" applyBorder="1" applyAlignment="1" applyProtection="1">
      <alignment horizontal="left" vertical="center"/>
      <protection locked="0"/>
    </xf>
    <xf numFmtId="0" fontId="0" fillId="75" borderId="26" xfId="0" applyFont="1" applyFill="1" applyBorder="1" applyAlignment="1" applyProtection="1">
      <alignment horizontal="left" vertical="center"/>
      <protection locked="0"/>
    </xf>
    <xf numFmtId="0" fontId="0" fillId="75" borderId="6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71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 horizontal="center"/>
    </xf>
    <xf numFmtId="0" fontId="0" fillId="0" borderId="30" xfId="0" applyBorder="1" applyAlignment="1">
      <alignment horizontal="center"/>
    </xf>
    <xf numFmtId="6" fontId="0" fillId="0" borderId="30" xfId="0" applyNumberFormat="1" applyBorder="1" applyAlignment="1">
      <alignment/>
    </xf>
    <xf numFmtId="6" fontId="0" fillId="0" borderId="71" xfId="0" applyNumberFormat="1" applyBorder="1" applyAlignment="1">
      <alignment/>
    </xf>
    <xf numFmtId="6" fontId="0" fillId="0" borderId="35" xfId="0" applyNumberFormat="1" applyBorder="1" applyAlignment="1">
      <alignment/>
    </xf>
    <xf numFmtId="0" fontId="76" fillId="0" borderId="0" xfId="0" applyFont="1" applyAlignment="1">
      <alignment/>
    </xf>
    <xf numFmtId="0" fontId="11" fillId="65" borderId="16" xfId="0" applyFont="1" applyFill="1" applyBorder="1" applyAlignment="1" applyProtection="1">
      <alignment horizontal="center" vertical="center"/>
      <protection/>
    </xf>
    <xf numFmtId="181" fontId="16" fillId="0" borderId="72" xfId="0" applyNumberFormat="1" applyFont="1" applyBorder="1" applyAlignment="1" applyProtection="1">
      <alignment horizontal="left"/>
      <protection/>
    </xf>
    <xf numFmtId="181" fontId="16" fillId="0" borderId="73" xfId="0" applyNumberFormat="1" applyFont="1" applyBorder="1" applyAlignment="1" applyProtection="1">
      <alignment horizontal="left"/>
      <protection/>
    </xf>
    <xf numFmtId="181" fontId="16" fillId="0" borderId="31" xfId="0" applyNumberFormat="1" applyFont="1" applyBorder="1" applyAlignment="1" applyProtection="1">
      <alignment horizontal="left"/>
      <protection/>
    </xf>
    <xf numFmtId="0" fontId="11" fillId="64" borderId="16" xfId="0" applyFont="1" applyFill="1" applyBorder="1" applyAlignment="1" applyProtection="1">
      <alignment horizontal="left" vertical="center"/>
      <protection/>
    </xf>
    <xf numFmtId="0" fontId="0" fillId="0" borderId="72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74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3" fillId="0" borderId="71" xfId="0" applyFont="1" applyBorder="1" applyAlignment="1">
      <alignment/>
    </xf>
    <xf numFmtId="0" fontId="13" fillId="0" borderId="35" xfId="0" applyFont="1" applyBorder="1" applyAlignment="1">
      <alignment/>
    </xf>
    <xf numFmtId="6" fontId="76" fillId="0" borderId="16" xfId="0" applyNumberFormat="1" applyFont="1" applyBorder="1" applyAlignment="1">
      <alignment/>
    </xf>
    <xf numFmtId="6" fontId="0" fillId="69" borderId="0" xfId="0" applyNumberFormat="1" applyFill="1" applyBorder="1" applyAlignment="1" applyProtection="1">
      <alignment/>
      <protection locked="0"/>
    </xf>
    <xf numFmtId="0" fontId="0" fillId="76" borderId="16" xfId="0" applyFill="1" applyBorder="1" applyAlignment="1" applyProtection="1">
      <alignment/>
      <protection locked="0"/>
    </xf>
    <xf numFmtId="0" fontId="80" fillId="77" borderId="16" xfId="0" applyFont="1" applyFill="1" applyBorder="1" applyAlignment="1">
      <alignment horizontal="center"/>
    </xf>
    <xf numFmtId="0" fontId="80" fillId="77" borderId="16" xfId="0" applyFont="1" applyFill="1" applyBorder="1" applyAlignment="1">
      <alignment horizontal="left" wrapText="1"/>
    </xf>
    <xf numFmtId="0" fontId="80" fillId="78" borderId="16" xfId="0" applyFont="1" applyFill="1" applyBorder="1" applyAlignment="1">
      <alignment horizontal="center"/>
    </xf>
    <xf numFmtId="0" fontId="81" fillId="75" borderId="16" xfId="0" applyFont="1" applyFill="1" applyBorder="1" applyAlignment="1">
      <alignment horizontal="center" vertical="center"/>
    </xf>
    <xf numFmtId="0" fontId="81" fillId="79" borderId="16" xfId="0" applyFont="1" applyFill="1" applyBorder="1" applyAlignment="1">
      <alignment horizontal="center" vertical="center"/>
    </xf>
    <xf numFmtId="188" fontId="81" fillId="79" borderId="16" xfId="0" applyNumberFormat="1" applyFont="1" applyFill="1" applyBorder="1" applyAlignment="1">
      <alignment horizontal="center" vertical="center"/>
    </xf>
    <xf numFmtId="0" fontId="80" fillId="80" borderId="16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left" vertical="center" wrapText="1"/>
    </xf>
    <xf numFmtId="189" fontId="35" fillId="0" borderId="16" xfId="0" applyNumberFormat="1" applyFont="1" applyBorder="1" applyAlignment="1">
      <alignment horizontal="left" vertical="center" wrapText="1"/>
    </xf>
    <xf numFmtId="0" fontId="35" fillId="0" borderId="16" xfId="0" applyFont="1" applyBorder="1" applyAlignment="1">
      <alignment horizontal="center" vertical="center"/>
    </xf>
    <xf numFmtId="0" fontId="35" fillId="69" borderId="16" xfId="0" applyFont="1" applyFill="1" applyBorder="1" applyAlignment="1">
      <alignment horizontal="center" vertical="center"/>
    </xf>
    <xf numFmtId="188" fontId="35" fillId="0" borderId="16" xfId="0" applyNumberFormat="1" applyFont="1" applyBorder="1" applyAlignment="1">
      <alignment horizontal="center" vertical="center"/>
    </xf>
    <xf numFmtId="190" fontId="35" fillId="0" borderId="16" xfId="0" applyNumberFormat="1" applyFont="1" applyBorder="1" applyAlignment="1">
      <alignment horizontal="center" vertical="center"/>
    </xf>
    <xf numFmtId="188" fontId="36" fillId="0" borderId="16" xfId="0" applyNumberFormat="1" applyFont="1" applyBorder="1" applyAlignment="1">
      <alignment horizontal="center" vertical="center"/>
    </xf>
    <xf numFmtId="191" fontId="35" fillId="0" borderId="16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/>
    </xf>
    <xf numFmtId="0" fontId="35" fillId="69" borderId="16" xfId="0" applyFont="1" applyFill="1" applyBorder="1" applyAlignment="1">
      <alignment horizontal="center"/>
    </xf>
    <xf numFmtId="188" fontId="35" fillId="0" borderId="16" xfId="0" applyNumberFormat="1" applyFont="1" applyBorder="1" applyAlignment="1">
      <alignment horizontal="center"/>
    </xf>
    <xf numFmtId="190" fontId="35" fillId="0" borderId="16" xfId="0" applyNumberFormat="1" applyFont="1" applyBorder="1" applyAlignment="1">
      <alignment horizontal="center"/>
    </xf>
    <xf numFmtId="188" fontId="36" fillId="0" borderId="16" xfId="0" applyNumberFormat="1" applyFont="1" applyBorder="1" applyAlignment="1">
      <alignment horizontal="center"/>
    </xf>
    <xf numFmtId="191" fontId="35" fillId="0" borderId="16" xfId="0" applyNumberFormat="1" applyFont="1" applyBorder="1" applyAlignment="1">
      <alignment horizontal="center"/>
    </xf>
    <xf numFmtId="189" fontId="35" fillId="0" borderId="16" xfId="0" applyNumberFormat="1" applyFont="1" applyBorder="1" applyAlignment="1">
      <alignment horizontal="center" vertical="center" wrapText="1"/>
    </xf>
    <xf numFmtId="189" fontId="35" fillId="69" borderId="16" xfId="0" applyNumberFormat="1" applyFont="1" applyFill="1" applyBorder="1" applyAlignment="1">
      <alignment horizontal="left" vertical="center" wrapText="1"/>
    </xf>
    <xf numFmtId="0" fontId="34" fillId="81" borderId="16" xfId="0" applyFont="1" applyFill="1" applyBorder="1" applyAlignment="1">
      <alignment horizontal="left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left" vertical="center" wrapText="1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1" fillId="0" borderId="0" xfId="0" applyFont="1" applyAlignment="1">
      <alignment horizontal="left" wrapText="1"/>
    </xf>
    <xf numFmtId="0" fontId="81" fillId="0" borderId="16" xfId="0" applyFont="1" applyBorder="1" applyAlignment="1">
      <alignment/>
    </xf>
    <xf numFmtId="188" fontId="82" fillId="0" borderId="0" xfId="0" applyNumberFormat="1" applyFont="1" applyAlignment="1">
      <alignment horizontal="center"/>
    </xf>
    <xf numFmtId="188" fontId="82" fillId="0" borderId="0" xfId="0" applyNumberFormat="1" applyFont="1" applyAlignment="1">
      <alignment/>
    </xf>
    <xf numFmtId="191" fontId="83" fillId="0" borderId="0" xfId="0" applyNumberFormat="1" applyFont="1" applyAlignment="1">
      <alignment horizontal="center"/>
    </xf>
    <xf numFmtId="191" fontId="81" fillId="0" borderId="16" xfId="0" applyNumberFormat="1" applyFont="1" applyBorder="1" applyAlignment="1">
      <alignment horizontal="center"/>
    </xf>
    <xf numFmtId="188" fontId="81" fillId="0" borderId="16" xfId="0" applyNumberFormat="1" applyFont="1" applyBorder="1" applyAlignment="1">
      <alignment horizontal="center"/>
    </xf>
    <xf numFmtId="0" fontId="38" fillId="0" borderId="0" xfId="0" applyFont="1" applyAlignment="1" applyProtection="1">
      <alignment/>
      <protection locked="0"/>
    </xf>
    <xf numFmtId="0" fontId="80" fillId="82" borderId="16" xfId="0" applyFont="1" applyFill="1" applyBorder="1" applyAlignment="1">
      <alignment horizontal="center" vertical="center"/>
    </xf>
    <xf numFmtId="191" fontId="35" fillId="83" borderId="16" xfId="0" applyNumberFormat="1" applyFont="1" applyFill="1" applyBorder="1" applyAlignment="1">
      <alignment horizontal="center" vertical="center"/>
    </xf>
    <xf numFmtId="191" fontId="35" fillId="83" borderId="16" xfId="0" applyNumberFormat="1" applyFont="1" applyFill="1" applyBorder="1" applyAlignment="1">
      <alignment horizontal="center"/>
    </xf>
    <xf numFmtId="0" fontId="35" fillId="83" borderId="16" xfId="0" applyFont="1" applyFill="1" applyBorder="1" applyAlignment="1">
      <alignment horizontal="center"/>
    </xf>
    <xf numFmtId="0" fontId="35" fillId="83" borderId="16" xfId="0" applyFont="1" applyFill="1" applyBorder="1" applyAlignment="1">
      <alignment horizontal="center" vertical="center"/>
    </xf>
    <xf numFmtId="0" fontId="82" fillId="83" borderId="0" xfId="0" applyFont="1" applyFill="1" applyAlignment="1">
      <alignment horizontal="center"/>
    </xf>
    <xf numFmtId="191" fontId="81" fillId="83" borderId="16" xfId="0" applyNumberFormat="1" applyFont="1" applyFill="1" applyBorder="1" applyAlignment="1">
      <alignment horizontal="center"/>
    </xf>
    <xf numFmtId="188" fontId="81" fillId="83" borderId="16" xfId="0" applyNumberFormat="1" applyFont="1" applyFill="1" applyBorder="1" applyAlignment="1">
      <alignment horizontal="center"/>
    </xf>
    <xf numFmtId="0" fontId="82" fillId="0" borderId="0" xfId="0" applyFont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16" xfId="0" applyBorder="1" applyAlignment="1" applyProtection="1">
      <alignment horizontal="right"/>
      <protection locked="0"/>
    </xf>
    <xf numFmtId="168" fontId="0" fillId="0" borderId="0" xfId="63" applyFont="1" applyAlignment="1" applyProtection="1">
      <alignment/>
      <protection locked="0"/>
    </xf>
    <xf numFmtId="0" fontId="0" fillId="0" borderId="72" xfId="0" applyFill="1" applyBorder="1" applyAlignment="1">
      <alignment horizontal="center"/>
    </xf>
    <xf numFmtId="0" fontId="13" fillId="0" borderId="73" xfId="0" applyFont="1" applyBorder="1" applyAlignment="1" applyProtection="1">
      <alignment horizontal="right"/>
      <protection locked="0"/>
    </xf>
    <xf numFmtId="0" fontId="13" fillId="0" borderId="73" xfId="0" applyFont="1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165" fontId="0" fillId="0" borderId="69" xfId="0" applyNumberFormat="1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0" fillId="0" borderId="75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88" fontId="32" fillId="0" borderId="0" xfId="0" applyNumberFormat="1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72" xfId="0" applyFont="1" applyBorder="1" applyAlignment="1" applyProtection="1">
      <alignment horizontal="center"/>
      <protection locked="0"/>
    </xf>
    <xf numFmtId="0" fontId="13" fillId="0" borderId="68" xfId="0" applyFont="1" applyBorder="1" applyAlignment="1" applyProtection="1">
      <alignment horizontal="center"/>
      <protection locked="0"/>
    </xf>
    <xf numFmtId="0" fontId="13" fillId="0" borderId="69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165" fontId="0" fillId="0" borderId="71" xfId="0" applyNumberFormat="1" applyBorder="1" applyAlignment="1" applyProtection="1">
      <alignment/>
      <protection locked="0"/>
    </xf>
    <xf numFmtId="165" fontId="0" fillId="0" borderId="74" xfId="0" applyNumberFormat="1" applyBorder="1" applyAlignment="1" applyProtection="1">
      <alignment/>
      <protection locked="0"/>
    </xf>
    <xf numFmtId="188" fontId="0" fillId="0" borderId="0" xfId="0" applyNumberForma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84" fillId="0" borderId="16" xfId="0" applyFont="1" applyFill="1" applyBorder="1" applyAlignment="1">
      <alignment horizontal="left"/>
    </xf>
    <xf numFmtId="0" fontId="85" fillId="0" borderId="16" xfId="0" applyFont="1" applyFill="1" applyBorder="1" applyAlignment="1">
      <alignment horizontal="left"/>
    </xf>
    <xf numFmtId="0" fontId="84" fillId="0" borderId="16" xfId="0" applyFont="1" applyFill="1" applyBorder="1" applyAlignment="1">
      <alignment horizontal="left"/>
    </xf>
    <xf numFmtId="0" fontId="84" fillId="0" borderId="0" xfId="0" applyFont="1" applyAlignment="1">
      <alignment/>
    </xf>
    <xf numFmtId="0" fontId="85" fillId="0" borderId="16" xfId="0" applyFont="1" applyBorder="1" applyAlignment="1">
      <alignment/>
    </xf>
    <xf numFmtId="0" fontId="85" fillId="0" borderId="16" xfId="0" applyFont="1" applyBorder="1" applyAlignment="1">
      <alignment horizontal="center"/>
    </xf>
    <xf numFmtId="0" fontId="84" fillId="84" borderId="16" xfId="0" applyFont="1" applyFill="1" applyBorder="1" applyAlignment="1">
      <alignment horizontal="center"/>
    </xf>
    <xf numFmtId="0" fontId="84" fillId="0" borderId="16" xfId="0" applyFont="1" applyBorder="1" applyAlignment="1">
      <alignment horizontal="left"/>
    </xf>
    <xf numFmtId="0" fontId="84" fillId="84" borderId="16" xfId="0" applyFont="1" applyFill="1" applyBorder="1" applyAlignment="1">
      <alignment horizontal="left"/>
    </xf>
    <xf numFmtId="0" fontId="85" fillId="0" borderId="16" xfId="0" applyFont="1" applyBorder="1" applyAlignment="1">
      <alignment/>
    </xf>
    <xf numFmtId="0" fontId="84" fillId="0" borderId="16" xfId="0" applyFont="1" applyBorder="1" applyAlignment="1">
      <alignment/>
    </xf>
    <xf numFmtId="0" fontId="84" fillId="0" borderId="16" xfId="0" applyFont="1" applyBorder="1" applyAlignment="1">
      <alignment/>
    </xf>
    <xf numFmtId="0" fontId="84" fillId="84" borderId="16" xfId="0" applyFont="1" applyFill="1" applyBorder="1" applyAlignment="1">
      <alignment/>
    </xf>
    <xf numFmtId="0" fontId="84" fillId="84" borderId="0" xfId="0" applyFont="1" applyFill="1" applyBorder="1" applyAlignment="1">
      <alignment horizontal="center"/>
    </xf>
    <xf numFmtId="0" fontId="84" fillId="84" borderId="0" xfId="0" applyFont="1" applyFill="1" applyBorder="1" applyAlignment="1">
      <alignment/>
    </xf>
    <xf numFmtId="0" fontId="84" fillId="84" borderId="16" xfId="0" applyFont="1" applyFill="1" applyBorder="1" applyAlignment="1">
      <alignment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168" fontId="0" fillId="0" borderId="16" xfId="63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48" borderId="16" xfId="0" applyFont="1" applyFill="1" applyBorder="1" applyAlignment="1" applyProtection="1">
      <alignment horizontal="center" vertical="center" wrapText="1"/>
      <protection locked="0"/>
    </xf>
    <xf numFmtId="168" fontId="13" fillId="48" borderId="16" xfId="0" applyNumberFormat="1" applyFont="1" applyFill="1" applyBorder="1" applyAlignment="1" applyProtection="1">
      <alignment horizontal="left" vertical="center" wrapText="1"/>
      <protection locked="0"/>
    </xf>
    <xf numFmtId="181" fontId="86" fillId="0" borderId="73" xfId="0" applyNumberFormat="1" applyFont="1" applyBorder="1" applyAlignment="1" applyProtection="1">
      <alignment horizontal="left"/>
      <protection/>
    </xf>
    <xf numFmtId="0" fontId="86" fillId="0" borderId="70" xfId="0" applyFont="1" applyBorder="1" applyAlignment="1" applyProtection="1">
      <alignment/>
      <protection locked="0"/>
    </xf>
    <xf numFmtId="0" fontId="86" fillId="0" borderId="0" xfId="0" applyFont="1" applyBorder="1" applyAlignment="1" applyProtection="1">
      <alignment/>
      <protection locked="0"/>
    </xf>
    <xf numFmtId="165" fontId="86" fillId="0" borderId="0" xfId="0" applyNumberFormat="1" applyFont="1" applyBorder="1" applyAlignment="1" applyProtection="1">
      <alignment/>
      <protection locked="0"/>
    </xf>
    <xf numFmtId="0" fontId="0" fillId="12" borderId="16" xfId="0" applyFill="1" applyBorder="1" applyAlignment="1" applyProtection="1">
      <alignment horizontal="left" vertical="center" wrapText="1"/>
      <protection locked="0"/>
    </xf>
    <xf numFmtId="168" fontId="0" fillId="0" borderId="0" xfId="63" applyFont="1" applyAlignment="1">
      <alignment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191" fontId="35" fillId="15" borderId="16" xfId="0" applyNumberFormat="1" applyFont="1" applyFill="1" applyBorder="1" applyAlignment="1">
      <alignment horizontal="center"/>
    </xf>
    <xf numFmtId="189" fontId="35" fillId="85" borderId="16" xfId="0" applyNumberFormat="1" applyFont="1" applyFill="1" applyBorder="1" applyAlignment="1">
      <alignment horizontal="left" vertical="center" wrapText="1"/>
    </xf>
    <xf numFmtId="189" fontId="35" fillId="15" borderId="16" xfId="0" applyNumberFormat="1" applyFont="1" applyFill="1" applyBorder="1" applyAlignment="1">
      <alignment horizontal="left" vertical="center" wrapText="1"/>
    </xf>
    <xf numFmtId="0" fontId="87" fillId="48" borderId="16" xfId="0" applyFont="1" applyFill="1" applyBorder="1" applyAlignment="1" applyProtection="1">
      <alignment horizontal="left" vertical="center" wrapText="1"/>
      <protection locked="0"/>
    </xf>
    <xf numFmtId="168" fontId="87" fillId="48" borderId="16" xfId="63" applyFont="1" applyFill="1" applyBorder="1" applyAlignment="1" applyProtection="1">
      <alignment horizontal="left" vertical="center" wrapText="1"/>
      <protection locked="0"/>
    </xf>
    <xf numFmtId="0" fontId="13" fillId="48" borderId="30" xfId="0" applyFont="1" applyFill="1" applyBorder="1" applyAlignment="1" applyProtection="1">
      <alignment horizontal="left" vertical="center" wrapText="1"/>
      <protection locked="0"/>
    </xf>
    <xf numFmtId="0" fontId="13" fillId="48" borderId="35" xfId="0" applyFont="1" applyFill="1" applyBorder="1" applyAlignment="1" applyProtection="1">
      <alignment horizontal="left" vertical="center" wrapText="1"/>
      <protection locked="0"/>
    </xf>
    <xf numFmtId="168" fontId="0" fillId="0" borderId="16" xfId="63" applyFont="1" applyBorder="1" applyAlignment="1" applyProtection="1">
      <alignment/>
      <protection locked="0"/>
    </xf>
    <xf numFmtId="168" fontId="76" fillId="76" borderId="35" xfId="0" applyNumberFormat="1" applyFont="1" applyFill="1" applyBorder="1" applyAlignment="1">
      <alignment/>
    </xf>
    <xf numFmtId="168" fontId="0" fillId="0" borderId="31" xfId="63" applyFont="1" applyBorder="1" applyAlignment="1">
      <alignment/>
    </xf>
    <xf numFmtId="168" fontId="0" fillId="0" borderId="35" xfId="63" applyFont="1" applyBorder="1" applyAlignment="1">
      <alignment/>
    </xf>
    <xf numFmtId="168" fontId="0" fillId="0" borderId="30" xfId="63" applyFont="1" applyBorder="1" applyAlignment="1">
      <alignment/>
    </xf>
    <xf numFmtId="168" fontId="0" fillId="0" borderId="31" xfId="63" applyFont="1" applyBorder="1" applyAlignment="1" applyProtection="1">
      <alignment/>
      <protection locked="0"/>
    </xf>
    <xf numFmtId="168" fontId="0" fillId="69" borderId="16" xfId="63" applyFont="1" applyFill="1" applyBorder="1" applyAlignment="1" applyProtection="1">
      <alignment/>
      <protection locked="0"/>
    </xf>
    <xf numFmtId="6" fontId="0" fillId="76" borderId="16" xfId="0" applyNumberFormat="1" applyFont="1" applyFill="1" applyBorder="1" applyAlignment="1" applyProtection="1">
      <alignment/>
      <protection locked="0"/>
    </xf>
    <xf numFmtId="168" fontId="0" fillId="76" borderId="16" xfId="0" applyNumberFormat="1" applyFill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91" fontId="35" fillId="15" borderId="16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48" borderId="0" xfId="0" applyFill="1" applyAlignment="1">
      <alignment/>
    </xf>
    <xf numFmtId="168" fontId="0" fillId="48" borderId="0" xfId="63" applyFont="1" applyFill="1" applyAlignment="1">
      <alignment/>
    </xf>
    <xf numFmtId="0" fontId="11" fillId="65" borderId="72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0" fillId="0" borderId="16" xfId="0" applyBorder="1" applyAlignment="1">
      <alignment/>
    </xf>
    <xf numFmtId="168" fontId="0" fillId="0" borderId="16" xfId="63" applyFont="1" applyBorder="1" applyAlignment="1">
      <alignment/>
    </xf>
    <xf numFmtId="168" fontId="86" fillId="0" borderId="16" xfId="63" applyFont="1" applyBorder="1" applyAlignment="1">
      <alignment/>
    </xf>
    <xf numFmtId="0" fontId="0" fillId="0" borderId="31" xfId="0" applyBorder="1" applyAlignment="1">
      <alignment/>
    </xf>
    <xf numFmtId="0" fontId="13" fillId="0" borderId="72" xfId="0" applyFont="1" applyBorder="1" applyAlignment="1">
      <alignment/>
    </xf>
    <xf numFmtId="0" fontId="0" fillId="0" borderId="73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31" xfId="0" applyFill="1" applyBorder="1" applyAlignment="1">
      <alignment/>
    </xf>
    <xf numFmtId="0" fontId="69" fillId="0" borderId="0" xfId="57" applyAlignment="1" applyProtection="1">
      <alignment horizontal="left" vertical="center"/>
      <protection/>
    </xf>
    <xf numFmtId="0" fontId="22" fillId="0" borderId="0" xfId="57" applyFont="1" applyAlignment="1" applyProtection="1">
      <alignment horizontal="left" vertical="center"/>
      <protection/>
    </xf>
    <xf numFmtId="174" fontId="20" fillId="86" borderId="27" xfId="0" applyNumberFormat="1" applyFont="1" applyFill="1" applyBorder="1" applyAlignment="1" applyProtection="1">
      <alignment horizontal="center" vertical="center" wrapText="1"/>
      <protection/>
    </xf>
    <xf numFmtId="174" fontId="20" fillId="86" borderId="49" xfId="0" applyNumberFormat="1" applyFont="1" applyFill="1" applyBorder="1" applyAlignment="1" applyProtection="1">
      <alignment horizontal="center" vertical="center" wrapText="1"/>
      <protection/>
    </xf>
    <xf numFmtId="174" fontId="20" fillId="86" borderId="50" xfId="0" applyNumberFormat="1" applyFont="1" applyFill="1" applyBorder="1" applyAlignment="1" applyProtection="1">
      <alignment horizontal="center" vertical="center" wrapText="1"/>
      <protection/>
    </xf>
    <xf numFmtId="0" fontId="13" fillId="54" borderId="27" xfId="0" applyFont="1" applyFill="1" applyBorder="1" applyAlignment="1" applyProtection="1">
      <alignment horizontal="center" vertical="center" wrapText="1"/>
      <protection/>
    </xf>
    <xf numFmtId="0" fontId="13" fillId="54" borderId="22" xfId="0" applyFont="1" applyFill="1" applyBorder="1" applyAlignment="1" applyProtection="1">
      <alignment horizontal="center" vertical="center" wrapText="1"/>
      <protection/>
    </xf>
    <xf numFmtId="0" fontId="21" fillId="40" borderId="0" xfId="0" applyFont="1" applyFill="1" applyBorder="1" applyAlignment="1" applyProtection="1">
      <alignment horizontal="left" vertical="center" indent="2"/>
      <protection/>
    </xf>
    <xf numFmtId="0" fontId="13" fillId="55" borderId="76" xfId="0" applyFont="1" applyFill="1" applyBorder="1" applyAlignment="1" applyProtection="1">
      <alignment horizontal="center" vertical="center" wrapText="1"/>
      <protection/>
    </xf>
    <xf numFmtId="0" fontId="13" fillId="55" borderId="29" xfId="0" applyFont="1" applyFill="1" applyBorder="1" applyAlignment="1" applyProtection="1">
      <alignment horizontal="center" vertical="center" wrapText="1"/>
      <protection/>
    </xf>
    <xf numFmtId="0" fontId="27" fillId="40" borderId="33" xfId="0" applyFont="1" applyFill="1" applyBorder="1" applyAlignment="1" applyProtection="1">
      <alignment horizontal="center" vertical="center" wrapText="1"/>
      <protection/>
    </xf>
    <xf numFmtId="0" fontId="27" fillId="40" borderId="21" xfId="0" applyFont="1" applyFill="1" applyBorder="1" applyAlignment="1" applyProtection="1">
      <alignment horizontal="center" vertical="center" wrapText="1"/>
      <protection/>
    </xf>
    <xf numFmtId="0" fontId="27" fillId="40" borderId="2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0" fillId="45" borderId="68" xfId="0" applyFont="1" applyFill="1" applyBorder="1" applyAlignment="1" applyProtection="1">
      <alignment horizontal="left" vertical="center" wrapText="1"/>
      <protection/>
    </xf>
    <xf numFmtId="0" fontId="0" fillId="45" borderId="69" xfId="0" applyFont="1" applyFill="1" applyBorder="1" applyAlignment="1" applyProtection="1">
      <alignment horizontal="left" vertical="center" wrapText="1"/>
      <protection/>
    </xf>
    <xf numFmtId="0" fontId="0" fillId="45" borderId="67" xfId="0" applyFont="1" applyFill="1" applyBorder="1" applyAlignment="1" applyProtection="1">
      <alignment horizontal="left" vertical="center" wrapText="1"/>
      <protection/>
    </xf>
    <xf numFmtId="0" fontId="0" fillId="45" borderId="70" xfId="0" applyFont="1" applyFill="1" applyBorder="1" applyAlignment="1" applyProtection="1">
      <alignment horizontal="left" vertical="center" wrapText="1"/>
      <protection/>
    </xf>
    <xf numFmtId="0" fontId="0" fillId="45" borderId="0" xfId="0" applyFont="1" applyFill="1" applyBorder="1" applyAlignment="1" applyProtection="1">
      <alignment horizontal="left" vertical="center" wrapText="1"/>
      <protection/>
    </xf>
    <xf numFmtId="0" fontId="0" fillId="45" borderId="75" xfId="0" applyFont="1" applyFill="1" applyBorder="1" applyAlignment="1" applyProtection="1">
      <alignment horizontal="left" vertical="center" wrapText="1"/>
      <protection/>
    </xf>
    <xf numFmtId="0" fontId="0" fillId="45" borderId="30" xfId="0" applyFont="1" applyFill="1" applyBorder="1" applyAlignment="1" applyProtection="1">
      <alignment horizontal="left" vertical="center" wrapText="1"/>
      <protection/>
    </xf>
    <xf numFmtId="0" fontId="0" fillId="45" borderId="71" xfId="0" applyFont="1" applyFill="1" applyBorder="1" applyAlignment="1" applyProtection="1">
      <alignment horizontal="left" vertical="center" wrapText="1"/>
      <protection/>
    </xf>
    <xf numFmtId="0" fontId="0" fillId="45" borderId="35" xfId="0" applyFont="1" applyFill="1" applyBorder="1" applyAlignment="1" applyProtection="1">
      <alignment horizontal="left" vertical="center" wrapText="1"/>
      <protection/>
    </xf>
    <xf numFmtId="174" fontId="18" fillId="60" borderId="77" xfId="0" applyNumberFormat="1" applyFont="1" applyFill="1" applyBorder="1" applyAlignment="1" applyProtection="1">
      <alignment horizontal="center" vertical="center" wrapText="1"/>
      <protection/>
    </xf>
    <xf numFmtId="174" fontId="18" fillId="60" borderId="49" xfId="0" applyNumberFormat="1" applyFont="1" applyFill="1" applyBorder="1" applyAlignment="1" applyProtection="1">
      <alignment horizontal="center" vertical="center" wrapText="1"/>
      <protection/>
    </xf>
    <xf numFmtId="174" fontId="18" fillId="60" borderId="76" xfId="0" applyNumberFormat="1" applyFont="1" applyFill="1" applyBorder="1" applyAlignment="1" applyProtection="1">
      <alignment horizontal="center" vertical="center" wrapText="1"/>
      <protection/>
    </xf>
    <xf numFmtId="0" fontId="27" fillId="0" borderId="33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13" fillId="55" borderId="78" xfId="0" applyFont="1" applyFill="1" applyBorder="1" applyAlignment="1" applyProtection="1">
      <alignment horizontal="center" vertical="center" wrapText="1"/>
      <protection/>
    </xf>
    <xf numFmtId="0" fontId="13" fillId="55" borderId="52" xfId="0" applyFont="1" applyFill="1" applyBorder="1" applyAlignment="1" applyProtection="1">
      <alignment horizontal="center" vertical="center" wrapText="1"/>
      <protection/>
    </xf>
    <xf numFmtId="0" fontId="13" fillId="55" borderId="27" xfId="0" applyFont="1" applyFill="1" applyBorder="1" applyAlignment="1" applyProtection="1">
      <alignment horizontal="center" vertical="center"/>
      <protection/>
    </xf>
    <xf numFmtId="0" fontId="13" fillId="55" borderId="50" xfId="0" applyFont="1" applyFill="1" applyBorder="1" applyAlignment="1" applyProtection="1">
      <alignment horizontal="center" vertical="center"/>
      <protection/>
    </xf>
    <xf numFmtId="0" fontId="13" fillId="54" borderId="76" xfId="0" applyFont="1" applyFill="1" applyBorder="1" applyAlignment="1" applyProtection="1">
      <alignment horizontal="center" vertical="center" wrapText="1"/>
      <protection/>
    </xf>
    <xf numFmtId="0" fontId="13" fillId="54" borderId="29" xfId="0" applyFont="1" applyFill="1" applyBorder="1" applyAlignment="1" applyProtection="1">
      <alignment horizontal="center" vertical="center" wrapText="1"/>
      <protection/>
    </xf>
    <xf numFmtId="0" fontId="13" fillId="55" borderId="76" xfId="0" applyFont="1" applyFill="1" applyBorder="1" applyAlignment="1" applyProtection="1">
      <alignment horizontal="center" vertical="center"/>
      <protection/>
    </xf>
    <xf numFmtId="0" fontId="13" fillId="55" borderId="79" xfId="0" applyFont="1" applyFill="1" applyBorder="1" applyAlignment="1" applyProtection="1">
      <alignment horizontal="center" vertical="center" wrapText="1"/>
      <protection/>
    </xf>
    <xf numFmtId="0" fontId="13" fillId="55" borderId="38" xfId="0" applyFont="1" applyFill="1" applyBorder="1" applyAlignment="1" applyProtection="1">
      <alignment horizontal="center" vertical="center" wrapText="1"/>
      <protection/>
    </xf>
    <xf numFmtId="0" fontId="13" fillId="55" borderId="80" xfId="0" applyFont="1" applyFill="1" applyBorder="1" applyAlignment="1" applyProtection="1">
      <alignment horizontal="center" vertical="center"/>
      <protection/>
    </xf>
    <xf numFmtId="0" fontId="13" fillId="55" borderId="81" xfId="0" applyFont="1" applyFill="1" applyBorder="1" applyAlignment="1" applyProtection="1">
      <alignment horizontal="center" vertical="center"/>
      <protection/>
    </xf>
    <xf numFmtId="0" fontId="13" fillId="55" borderId="82" xfId="0" applyFont="1" applyFill="1" applyBorder="1" applyAlignment="1" applyProtection="1">
      <alignment horizontal="center" vertical="center"/>
      <protection/>
    </xf>
    <xf numFmtId="0" fontId="13" fillId="55" borderId="34" xfId="0" applyFont="1" applyFill="1" applyBorder="1" applyAlignment="1" applyProtection="1">
      <alignment horizontal="center" vertical="center"/>
      <protection/>
    </xf>
    <xf numFmtId="0" fontId="13" fillId="55" borderId="82" xfId="0" applyFont="1" applyFill="1" applyBorder="1" applyAlignment="1" applyProtection="1">
      <alignment horizontal="center" vertical="center" wrapText="1"/>
      <protection/>
    </xf>
    <xf numFmtId="0" fontId="13" fillId="55" borderId="34" xfId="0" applyFont="1" applyFill="1" applyBorder="1" applyAlignment="1" applyProtection="1">
      <alignment horizontal="center" vertical="center" wrapText="1"/>
      <protection/>
    </xf>
    <xf numFmtId="0" fontId="13" fillId="45" borderId="50" xfId="0" applyFont="1" applyFill="1" applyBorder="1" applyAlignment="1" applyProtection="1">
      <alignment horizontal="center" vertical="center" wrapText="1"/>
      <protection/>
    </xf>
    <xf numFmtId="0" fontId="13" fillId="45" borderId="2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7" fillId="40" borderId="83" xfId="0" applyFont="1" applyFill="1" applyBorder="1" applyAlignment="1" applyProtection="1">
      <alignment horizontal="center" vertical="center" wrapText="1"/>
      <protection/>
    </xf>
    <xf numFmtId="0" fontId="27" fillId="40" borderId="38" xfId="0" applyFont="1" applyFill="1" applyBorder="1" applyAlignment="1" applyProtection="1">
      <alignment horizontal="center" vertical="center" wrapText="1"/>
      <protection/>
    </xf>
    <xf numFmtId="183" fontId="19" fillId="8" borderId="32" xfId="0" applyNumberFormat="1" applyFont="1" applyFill="1" applyBorder="1" applyAlignment="1" applyProtection="1">
      <alignment horizontal="right" vertical="center"/>
      <protection/>
    </xf>
    <xf numFmtId="183" fontId="19" fillId="8" borderId="18" xfId="0" applyNumberFormat="1" applyFont="1" applyFill="1" applyBorder="1" applyAlignment="1" applyProtection="1">
      <alignment horizontal="right" vertical="center"/>
      <protection/>
    </xf>
    <xf numFmtId="183" fontId="19" fillId="8" borderId="20" xfId="0" applyNumberFormat="1" applyFont="1" applyFill="1" applyBorder="1" applyAlignment="1" applyProtection="1">
      <alignment horizontal="right" vertical="center"/>
      <protection/>
    </xf>
    <xf numFmtId="0" fontId="13" fillId="55" borderId="84" xfId="0" applyFont="1" applyFill="1" applyBorder="1" applyAlignment="1" applyProtection="1">
      <alignment horizontal="center" vertical="center" wrapText="1"/>
      <protection/>
    </xf>
    <xf numFmtId="0" fontId="13" fillId="62" borderId="41" xfId="0" applyFont="1" applyFill="1" applyBorder="1" applyAlignment="1" applyProtection="1">
      <alignment horizontal="center" vertical="center" wrapText="1"/>
      <protection/>
    </xf>
    <xf numFmtId="0" fontId="18" fillId="62" borderId="85" xfId="0" applyFont="1" applyFill="1" applyBorder="1" applyAlignment="1" applyProtection="1">
      <alignment horizontal="center" vertical="center"/>
      <protection/>
    </xf>
    <xf numFmtId="0" fontId="18" fillId="62" borderId="86" xfId="0" applyFont="1" applyFill="1" applyBorder="1" applyAlignment="1" applyProtection="1">
      <alignment horizontal="center" vertical="center"/>
      <protection/>
    </xf>
    <xf numFmtId="0" fontId="18" fillId="62" borderId="87" xfId="0" applyFont="1" applyFill="1" applyBorder="1" applyAlignment="1" applyProtection="1">
      <alignment horizontal="center" vertical="center"/>
      <protection/>
    </xf>
    <xf numFmtId="0" fontId="13" fillId="9" borderId="27" xfId="0" applyFont="1" applyFill="1" applyBorder="1" applyAlignment="1" applyProtection="1">
      <alignment horizontal="center" vertical="center" wrapText="1"/>
      <protection/>
    </xf>
    <xf numFmtId="0" fontId="13" fillId="9" borderId="22" xfId="0" applyFont="1" applyFill="1" applyBorder="1" applyAlignment="1" applyProtection="1">
      <alignment horizontal="center" vertical="center" wrapText="1"/>
      <protection/>
    </xf>
    <xf numFmtId="0" fontId="27" fillId="0" borderId="72" xfId="0" applyFont="1" applyFill="1" applyBorder="1" applyAlignment="1" applyProtection="1">
      <alignment horizontal="center" vertical="top" wrapText="1"/>
      <protection/>
    </xf>
    <xf numFmtId="0" fontId="27" fillId="0" borderId="73" xfId="0" applyFont="1" applyFill="1" applyBorder="1" applyAlignment="1" applyProtection="1">
      <alignment horizontal="center" vertical="top" wrapText="1"/>
      <protection/>
    </xf>
    <xf numFmtId="0" fontId="27" fillId="0" borderId="88" xfId="0" applyFont="1" applyFill="1" applyBorder="1" applyAlignment="1" applyProtection="1">
      <alignment horizontal="center" vertical="top" wrapText="1"/>
      <protection/>
    </xf>
    <xf numFmtId="0" fontId="19" fillId="48" borderId="42" xfId="0" applyFont="1" applyFill="1" applyBorder="1" applyAlignment="1" applyProtection="1">
      <alignment horizontal="center" vertical="center"/>
      <protection locked="0"/>
    </xf>
    <xf numFmtId="0" fontId="19" fillId="48" borderId="14" xfId="0" applyFont="1" applyFill="1" applyBorder="1" applyAlignment="1" applyProtection="1">
      <alignment horizontal="center" vertical="center"/>
      <protection locked="0"/>
    </xf>
    <xf numFmtId="172" fontId="13" fillId="87" borderId="11" xfId="62" applyFont="1" applyFill="1" applyBorder="1" applyAlignment="1" applyProtection="1">
      <alignment horizontal="center" vertical="center" wrapText="1"/>
      <protection/>
    </xf>
    <xf numFmtId="172" fontId="13" fillId="87" borderId="89" xfId="62" applyFont="1" applyFill="1" applyBorder="1" applyAlignment="1" applyProtection="1">
      <alignment horizontal="center" vertical="center" wrapText="1"/>
      <protection/>
    </xf>
    <xf numFmtId="0" fontId="11" fillId="54" borderId="11" xfId="0" applyFont="1" applyFill="1" applyBorder="1" applyAlignment="1" applyProtection="1">
      <alignment horizontal="center" vertical="center"/>
      <protection/>
    </xf>
    <xf numFmtId="0" fontId="11" fillId="54" borderId="90" xfId="0" applyFont="1" applyFill="1" applyBorder="1" applyAlignment="1" applyProtection="1">
      <alignment horizontal="center" vertical="center"/>
      <protection/>
    </xf>
    <xf numFmtId="0" fontId="13" fillId="41" borderId="11" xfId="0" applyFont="1" applyFill="1" applyBorder="1" applyAlignment="1" applyProtection="1">
      <alignment horizontal="center" vertical="center"/>
      <protection/>
    </xf>
    <xf numFmtId="0" fontId="13" fillId="41" borderId="90" xfId="0" applyFont="1" applyFill="1" applyBorder="1" applyAlignment="1" applyProtection="1">
      <alignment horizontal="center" vertical="center"/>
      <protection/>
    </xf>
    <xf numFmtId="0" fontId="11" fillId="55" borderId="11" xfId="0" applyFont="1" applyFill="1" applyBorder="1" applyAlignment="1" applyProtection="1">
      <alignment horizontal="center" vertical="center"/>
      <protection/>
    </xf>
    <xf numFmtId="0" fontId="11" fillId="55" borderId="89" xfId="0" applyFont="1" applyFill="1" applyBorder="1" applyAlignment="1" applyProtection="1">
      <alignment horizontal="center" vertical="center"/>
      <protection/>
    </xf>
    <xf numFmtId="0" fontId="11" fillId="41" borderId="42" xfId="0" applyFont="1" applyFill="1" applyBorder="1" applyAlignment="1" applyProtection="1">
      <alignment horizontal="center" vertical="center"/>
      <protection/>
    </xf>
    <xf numFmtId="0" fontId="11" fillId="41" borderId="91" xfId="0" applyFont="1" applyFill="1" applyBorder="1" applyAlignment="1" applyProtection="1">
      <alignment horizontal="center" vertical="center"/>
      <protection/>
    </xf>
    <xf numFmtId="0" fontId="11" fillId="41" borderId="14" xfId="0" applyFont="1" applyFill="1" applyBorder="1" applyAlignment="1" applyProtection="1">
      <alignment horizontal="center" vertical="center"/>
      <protection/>
    </xf>
    <xf numFmtId="0" fontId="11" fillId="55" borderId="11" xfId="0" applyFont="1" applyFill="1" applyBorder="1" applyAlignment="1" applyProtection="1">
      <alignment horizontal="center" vertical="center" wrapText="1"/>
      <protection/>
    </xf>
    <xf numFmtId="0" fontId="11" fillId="55" borderId="90" xfId="0" applyFont="1" applyFill="1" applyBorder="1" applyAlignment="1" applyProtection="1">
      <alignment horizontal="center" vertical="center" wrapText="1"/>
      <protection/>
    </xf>
    <xf numFmtId="174" fontId="0" fillId="1" borderId="16" xfId="62" applyNumberFormat="1" applyFont="1" applyFill="1" applyBorder="1" applyAlignment="1" applyProtection="1">
      <alignment horizontal="center" vertical="center"/>
      <protection/>
    </xf>
    <xf numFmtId="174" fontId="0" fillId="1" borderId="26" xfId="62" applyNumberFormat="1" applyFont="1" applyFill="1" applyBorder="1" applyAlignment="1" applyProtection="1">
      <alignment horizontal="center" vertical="center"/>
      <protection/>
    </xf>
    <xf numFmtId="174" fontId="0" fillId="1" borderId="28" xfId="62" applyNumberFormat="1" applyFont="1" applyFill="1" applyBorder="1" applyAlignment="1" applyProtection="1">
      <alignment horizontal="center" vertical="center"/>
      <protection/>
    </xf>
    <xf numFmtId="174" fontId="79" fillId="51" borderId="27" xfId="0" applyNumberFormat="1" applyFont="1" applyFill="1" applyBorder="1" applyAlignment="1" applyProtection="1">
      <alignment horizontal="center" vertical="center" wrapText="1"/>
      <protection/>
    </xf>
    <xf numFmtId="174" fontId="79" fillId="51" borderId="49" xfId="0" applyNumberFormat="1" applyFont="1" applyFill="1" applyBorder="1" applyAlignment="1" applyProtection="1">
      <alignment horizontal="center" vertical="center" wrapText="1"/>
      <protection/>
    </xf>
    <xf numFmtId="174" fontId="79" fillId="51" borderId="50" xfId="0" applyNumberFormat="1" applyFont="1" applyFill="1" applyBorder="1" applyAlignment="1" applyProtection="1">
      <alignment horizontal="center" vertical="center" wrapText="1"/>
      <protection/>
    </xf>
    <xf numFmtId="174" fontId="79" fillId="51" borderId="77" xfId="0" applyNumberFormat="1" applyFont="1" applyFill="1" applyBorder="1" applyAlignment="1" applyProtection="1">
      <alignment horizontal="center" vertical="center" wrapText="1"/>
      <protection/>
    </xf>
    <xf numFmtId="174" fontId="79" fillId="51" borderId="26" xfId="0" applyNumberFormat="1" applyFont="1" applyFill="1" applyBorder="1" applyAlignment="1" applyProtection="1">
      <alignment horizontal="center" vertical="center" wrapText="1"/>
      <protection/>
    </xf>
    <xf numFmtId="174" fontId="79" fillId="51" borderId="16" xfId="0" applyNumberFormat="1" applyFont="1" applyFill="1" applyBorder="1" applyAlignment="1" applyProtection="1">
      <alignment horizontal="center" vertical="center" wrapText="1"/>
      <protection/>
    </xf>
    <xf numFmtId="174" fontId="0" fillId="88" borderId="51" xfId="62" applyNumberFormat="1" applyFont="1" applyFill="1" applyBorder="1" applyAlignment="1" applyProtection="1">
      <alignment horizontal="right" vertical="center"/>
      <protection/>
    </xf>
    <xf numFmtId="174" fontId="13" fillId="89" borderId="76" xfId="0" applyNumberFormat="1" applyFont="1" applyFill="1" applyBorder="1" applyAlignment="1" applyProtection="1">
      <alignment horizontal="center" vertical="center" wrapText="1"/>
      <protection/>
    </xf>
    <xf numFmtId="174" fontId="13" fillId="89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right" vertical="center"/>
      <protection/>
    </xf>
    <xf numFmtId="0" fontId="13" fillId="48" borderId="42" xfId="0" applyFont="1" applyFill="1" applyBorder="1" applyAlignment="1" applyProtection="1">
      <alignment horizontal="center" vertical="center"/>
      <protection/>
    </xf>
    <xf numFmtId="0" fontId="13" fillId="48" borderId="14" xfId="0" applyFont="1" applyFill="1" applyBorder="1" applyAlignment="1" applyProtection="1">
      <alignment horizontal="center" vertical="center"/>
      <protection/>
    </xf>
    <xf numFmtId="174" fontId="13" fillId="54" borderId="50" xfId="0" applyNumberFormat="1" applyFont="1" applyFill="1" applyBorder="1" applyAlignment="1" applyProtection="1">
      <alignment horizontal="center" vertical="center"/>
      <protection/>
    </xf>
    <xf numFmtId="174" fontId="13" fillId="54" borderId="18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left" vertical="center" indent="2"/>
      <protection/>
    </xf>
    <xf numFmtId="0" fontId="13" fillId="54" borderId="78" xfId="0" applyFont="1" applyFill="1" applyBorder="1" applyAlignment="1" applyProtection="1">
      <alignment horizontal="center" vertical="center" wrapText="1"/>
      <protection/>
    </xf>
    <xf numFmtId="0" fontId="13" fillId="54" borderId="51" xfId="0" applyFont="1" applyFill="1" applyBorder="1" applyAlignment="1" applyProtection="1">
      <alignment horizontal="center" vertical="center" wrapText="1"/>
      <protection/>
    </xf>
    <xf numFmtId="0" fontId="13" fillId="54" borderId="21" xfId="0" applyFont="1" applyFill="1" applyBorder="1" applyAlignment="1" applyProtection="1">
      <alignment horizontal="center" vertical="center" wrapText="1"/>
      <protection/>
    </xf>
    <xf numFmtId="174" fontId="13" fillId="90" borderId="77" xfId="0" applyNumberFormat="1" applyFont="1" applyFill="1" applyBorder="1" applyAlignment="1" applyProtection="1">
      <alignment horizontal="center" vertical="center" wrapText="1"/>
      <protection/>
    </xf>
    <xf numFmtId="174" fontId="13" fillId="90" borderId="49" xfId="0" applyNumberFormat="1" applyFont="1" applyFill="1" applyBorder="1" applyAlignment="1" applyProtection="1">
      <alignment horizontal="center" vertical="center" wrapText="1"/>
      <protection/>
    </xf>
    <xf numFmtId="174" fontId="13" fillId="90" borderId="76" xfId="0" applyNumberFormat="1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13" fillId="0" borderId="52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174" fontId="13" fillId="74" borderId="22" xfId="0" applyNumberFormat="1" applyFont="1" applyFill="1" applyBorder="1" applyAlignment="1" applyProtection="1">
      <alignment horizontal="center" vertical="center"/>
      <protection/>
    </xf>
    <xf numFmtId="174" fontId="13" fillId="74" borderId="20" xfId="0" applyNumberFormat="1" applyFont="1" applyFill="1" applyBorder="1" applyAlignment="1" applyProtection="1">
      <alignment horizontal="center" vertical="center"/>
      <protection/>
    </xf>
    <xf numFmtId="0" fontId="19" fillId="55" borderId="77" xfId="0" applyFont="1" applyFill="1" applyBorder="1" applyAlignment="1" applyProtection="1">
      <alignment horizontal="center" vertical="center"/>
      <protection/>
    </xf>
    <xf numFmtId="0" fontId="19" fillId="55" borderId="49" xfId="0" applyFont="1" applyFill="1" applyBorder="1" applyAlignment="1" applyProtection="1">
      <alignment horizontal="center" vertical="center"/>
      <protection/>
    </xf>
    <xf numFmtId="0" fontId="19" fillId="55" borderId="50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 indent="2"/>
      <protection/>
    </xf>
    <xf numFmtId="174" fontId="19" fillId="41" borderId="77" xfId="0" applyNumberFormat="1" applyFont="1" applyFill="1" applyBorder="1" applyAlignment="1" applyProtection="1">
      <alignment horizontal="center" vertical="center" wrapText="1"/>
      <protection/>
    </xf>
    <xf numFmtId="174" fontId="19" fillId="41" borderId="49" xfId="0" applyNumberFormat="1" applyFont="1" applyFill="1" applyBorder="1" applyAlignment="1" applyProtection="1">
      <alignment horizontal="center" vertical="center" wrapText="1"/>
      <protection/>
    </xf>
    <xf numFmtId="174" fontId="19" fillId="41" borderId="76" xfId="0" applyNumberFormat="1" applyFont="1" applyFill="1" applyBorder="1" applyAlignment="1" applyProtection="1">
      <alignment horizontal="center" vertical="center" wrapText="1"/>
      <protection/>
    </xf>
    <xf numFmtId="0" fontId="19" fillId="55" borderId="27" xfId="0" applyFont="1" applyFill="1" applyBorder="1" applyAlignment="1" applyProtection="1">
      <alignment horizontal="center" vertical="center"/>
      <protection/>
    </xf>
    <xf numFmtId="0" fontId="34" fillId="0" borderId="16" xfId="0" applyFont="1" applyBorder="1" applyAlignment="1">
      <alignment horizontal="left" vertical="center" wrapText="1"/>
    </xf>
    <xf numFmtId="0" fontId="88" fillId="0" borderId="16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 wrapText="1"/>
    </xf>
    <xf numFmtId="0" fontId="19" fillId="48" borderId="28" xfId="0" applyFont="1" applyFill="1" applyBorder="1" applyAlignment="1" applyProtection="1">
      <alignment horizontal="center" vertical="center"/>
      <protection/>
    </xf>
    <xf numFmtId="0" fontId="19" fillId="48" borderId="26" xfId="0" applyFont="1" applyFill="1" applyBorder="1" applyAlignment="1" applyProtection="1">
      <alignment horizontal="center" vertical="center"/>
      <protection/>
    </xf>
    <xf numFmtId="0" fontId="88" fillId="0" borderId="31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" xfId="54"/>
    <cellStyle name="Heading 1" xfId="55"/>
    <cellStyle name="Heading 2" xfId="56"/>
    <cellStyle name="Hyperlink" xfId="57"/>
    <cellStyle name="Followed Hyperlink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tas" xfId="65"/>
    <cellStyle name="Note" xfId="66"/>
    <cellStyle name="Percent" xfId="67"/>
    <cellStyle name="Salida" xfId="68"/>
    <cellStyle name="Status" xfId="69"/>
    <cellStyle name="Text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  <cellStyle name="Warning" xfId="77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123825</xdr:rowOff>
    </xdr:from>
    <xdr:to>
      <xdr:col>9</xdr:col>
      <xdr:colOff>9525</xdr:colOff>
      <xdr:row>5</xdr:row>
      <xdr:rowOff>76200</xdr:rowOff>
    </xdr:to>
    <xdr:sp>
      <xdr:nvSpPr>
        <xdr:cNvPr id="1" name="CuadroTexto 11"/>
        <xdr:cNvSpPr txBox="1">
          <a:spLocks noChangeArrowheads="1"/>
        </xdr:cNvSpPr>
      </xdr:nvSpPr>
      <xdr:spPr>
        <a:xfrm>
          <a:off x="781050" y="609600"/>
          <a:ext cx="6086475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INGRESE LOS DATOS EN LAS CELDAS DESTACADAS EN COLOR AMARILLO Y NARANJO</a:t>
          </a:r>
        </a:p>
      </xdr:txBody>
    </xdr:sp>
    <xdr:clientData/>
  </xdr:twoCellAnchor>
  <xdr:twoCellAnchor editAs="oneCell">
    <xdr:from>
      <xdr:col>1</xdr:col>
      <xdr:colOff>38100</xdr:colOff>
      <xdr:row>6</xdr:row>
      <xdr:rowOff>152400</xdr:rowOff>
    </xdr:from>
    <xdr:to>
      <xdr:col>17</xdr:col>
      <xdr:colOff>47625</xdr:colOff>
      <xdr:row>45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23950"/>
          <a:ext cx="12201525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46</xdr:row>
      <xdr:rowOff>0</xdr:rowOff>
    </xdr:from>
    <xdr:to>
      <xdr:col>9</xdr:col>
      <xdr:colOff>47625</xdr:colOff>
      <xdr:row>81</xdr:row>
      <xdr:rowOff>47625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7448550"/>
          <a:ext cx="61341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%20Jose\Desktop\TRABAJO%20PER&#205;ODO%20COVID-19\Presupuesto%20Tarifas%202021\Plan%20Mantenci&#243;n%20Dalegria\Plan%20Mantenimiento_Dalegria_revisado%20ITO_29.09.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ECECITOS DE COLORES"/>
      <sheetName val="LOBITO MARINO "/>
      <sheetName val="LOS DELFINES "/>
      <sheetName val="S.C MAR AZUL"/>
      <sheetName val="CARACOLITO"/>
      <sheetName val="CR DALEGRIA"/>
    </sheetNames>
    <sheetDataSet>
      <sheetData sheetId="1">
        <row r="5">
          <cell r="J5">
            <v>28680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2"/>
  <sheetViews>
    <sheetView showGridLines="0" zoomScale="130" zoomScaleNormal="130" zoomScalePageLayoutView="0" workbookViewId="0" topLeftCell="A1">
      <selection activeCell="M51" sqref="M51"/>
    </sheetView>
  </sheetViews>
  <sheetFormatPr defaultColWidth="11.421875" defaultRowHeight="12.75"/>
  <cols>
    <col min="1" max="16384" width="11.421875" style="78" customWidth="1"/>
  </cols>
  <sheetData>
    <row r="1" ht="12.75">
      <c r="J1" s="77" t="s">
        <v>101</v>
      </c>
    </row>
    <row r="2" ht="12.75">
      <c r="J2" s="77" t="s">
        <v>52</v>
      </c>
    </row>
    <row r="3" ht="12.75">
      <c r="J3" s="77"/>
    </row>
    <row r="5" spans="3:10" ht="12.75">
      <c r="C5" s="79"/>
      <c r="D5" s="79"/>
      <c r="E5" s="79"/>
      <c r="F5" s="79"/>
      <c r="G5" s="79"/>
      <c r="H5" s="79"/>
      <c r="I5" s="79"/>
      <c r="J5" s="79"/>
    </row>
    <row r="6" spans="3:10" ht="12.75">
      <c r="C6" s="79"/>
      <c r="D6" s="79"/>
      <c r="E6" s="79"/>
      <c r="F6" s="79"/>
      <c r="G6" s="79"/>
      <c r="H6" s="79"/>
      <c r="I6" s="79"/>
      <c r="J6" s="79"/>
    </row>
    <row r="7" spans="3:10" ht="12.75">
      <c r="C7" s="79"/>
      <c r="D7" s="79"/>
      <c r="E7" s="79"/>
      <c r="F7" s="79"/>
      <c r="G7" s="79"/>
      <c r="H7" s="79"/>
      <c r="I7" s="79"/>
      <c r="J7" s="79"/>
    </row>
    <row r="8" spans="3:10" ht="12.75">
      <c r="C8" s="79"/>
      <c r="D8" s="79"/>
      <c r="E8" s="79"/>
      <c r="F8" s="79"/>
      <c r="G8" s="79"/>
      <c r="H8" s="79"/>
      <c r="I8" s="79"/>
      <c r="J8" s="79"/>
    </row>
    <row r="9" spans="3:10" ht="12.75">
      <c r="C9" s="79"/>
      <c r="D9" s="79"/>
      <c r="E9" s="79"/>
      <c r="F9" s="79"/>
      <c r="G9" s="79"/>
      <c r="H9" s="79"/>
      <c r="I9" s="79"/>
      <c r="J9" s="79"/>
    </row>
    <row r="10" spans="3:10" ht="12.75">
      <c r="C10" s="79"/>
      <c r="D10" s="79"/>
      <c r="E10" s="79"/>
      <c r="F10" s="79"/>
      <c r="G10" s="79"/>
      <c r="H10" s="79"/>
      <c r="I10" s="79"/>
      <c r="J10" s="79"/>
    </row>
    <row r="11" spans="3:10" ht="12.75">
      <c r="C11" s="79"/>
      <c r="D11" s="79"/>
      <c r="E11" s="79"/>
      <c r="F11" s="79"/>
      <c r="G11" s="79"/>
      <c r="H11" s="79"/>
      <c r="I11" s="79"/>
      <c r="J11" s="79"/>
    </row>
    <row r="12" spans="3:10" ht="12.75">
      <c r="C12" s="79"/>
      <c r="D12" s="79"/>
      <c r="E12" s="79"/>
      <c r="F12" s="79"/>
      <c r="G12" s="79"/>
      <c r="H12" s="79"/>
      <c r="I12" s="79"/>
      <c r="J12" s="79"/>
    </row>
    <row r="13" spans="3:10" ht="12.75">
      <c r="C13" s="79"/>
      <c r="D13" s="79"/>
      <c r="E13" s="79"/>
      <c r="F13" s="79"/>
      <c r="G13" s="79"/>
      <c r="H13" s="79"/>
      <c r="I13" s="79"/>
      <c r="J13" s="79"/>
    </row>
    <row r="14" spans="3:10" ht="12.75">
      <c r="C14" s="79"/>
      <c r="D14" s="79"/>
      <c r="E14" s="79"/>
      <c r="F14" s="79"/>
      <c r="G14" s="79"/>
      <c r="H14" s="79"/>
      <c r="I14" s="79"/>
      <c r="J14" s="79"/>
    </row>
    <row r="15" spans="3:10" ht="12.75">
      <c r="C15" s="79"/>
      <c r="D15" s="79"/>
      <c r="E15" s="79"/>
      <c r="F15" s="79"/>
      <c r="G15" s="79"/>
      <c r="H15" s="79"/>
      <c r="I15" s="79"/>
      <c r="J15" s="79"/>
    </row>
    <row r="16" spans="3:10" ht="12.75">
      <c r="C16" s="79"/>
      <c r="D16" s="79"/>
      <c r="E16" s="79"/>
      <c r="F16" s="79"/>
      <c r="G16" s="79"/>
      <c r="H16" s="79"/>
      <c r="I16" s="79"/>
      <c r="J16" s="79"/>
    </row>
    <row r="17" spans="3:10" ht="12.75">
      <c r="C17" s="79"/>
      <c r="D17" s="79"/>
      <c r="E17" s="79"/>
      <c r="F17" s="79"/>
      <c r="G17" s="79"/>
      <c r="H17" s="79"/>
      <c r="I17" s="79"/>
      <c r="J17" s="79"/>
    </row>
    <row r="18" spans="3:10" ht="12.75">
      <c r="C18" s="79"/>
      <c r="D18" s="79"/>
      <c r="E18" s="79"/>
      <c r="F18" s="79"/>
      <c r="G18" s="79"/>
      <c r="H18" s="79"/>
      <c r="I18" s="79"/>
      <c r="J18" s="79"/>
    </row>
    <row r="19" spans="3:10" ht="12.75">
      <c r="C19" s="79"/>
      <c r="D19" s="79"/>
      <c r="E19" s="79"/>
      <c r="F19" s="79"/>
      <c r="G19" s="79"/>
      <c r="H19" s="79"/>
      <c r="I19" s="79"/>
      <c r="J19" s="79"/>
    </row>
    <row r="20" spans="3:10" ht="12.75">
      <c r="C20" s="79"/>
      <c r="D20" s="79"/>
      <c r="E20" s="79"/>
      <c r="F20" s="79"/>
      <c r="G20" s="79"/>
      <c r="H20" s="79"/>
      <c r="I20" s="79"/>
      <c r="J20" s="79"/>
    </row>
    <row r="21" spans="3:10" ht="12.75">
      <c r="C21" s="79"/>
      <c r="D21" s="79"/>
      <c r="E21" s="79"/>
      <c r="F21" s="79"/>
      <c r="G21" s="79"/>
      <c r="H21" s="79"/>
      <c r="I21" s="79"/>
      <c r="J21" s="79"/>
    </row>
    <row r="22" spans="3:10" ht="12.75">
      <c r="C22" s="79"/>
      <c r="D22" s="79"/>
      <c r="E22" s="79"/>
      <c r="F22" s="79"/>
      <c r="G22" s="79"/>
      <c r="H22" s="79"/>
      <c r="I22" s="79"/>
      <c r="J22" s="79"/>
    </row>
    <row r="23" spans="3:10" ht="12.75">
      <c r="C23" s="79"/>
      <c r="D23" s="79"/>
      <c r="E23" s="79"/>
      <c r="F23" s="79"/>
      <c r="G23" s="79"/>
      <c r="H23" s="79"/>
      <c r="I23" s="79"/>
      <c r="J23" s="79"/>
    </row>
    <row r="24" spans="3:10" ht="12.75">
      <c r="C24" s="79"/>
      <c r="D24" s="79"/>
      <c r="E24" s="79"/>
      <c r="F24" s="79"/>
      <c r="G24" s="79"/>
      <c r="H24" s="79"/>
      <c r="I24" s="79"/>
      <c r="J24" s="79"/>
    </row>
    <row r="25" spans="3:10" ht="12.75">
      <c r="C25" s="79"/>
      <c r="D25" s="79"/>
      <c r="E25" s="79"/>
      <c r="F25" s="79"/>
      <c r="G25" s="79"/>
      <c r="H25" s="79"/>
      <c r="I25" s="79"/>
      <c r="J25" s="79"/>
    </row>
    <row r="26" spans="3:10" ht="12.75">
      <c r="C26" s="79"/>
      <c r="D26" s="79"/>
      <c r="E26" s="79"/>
      <c r="F26" s="79"/>
      <c r="G26" s="79"/>
      <c r="H26" s="79"/>
      <c r="I26" s="79"/>
      <c r="J26" s="79"/>
    </row>
    <row r="27" spans="3:10" ht="12.75">
      <c r="C27" s="79"/>
      <c r="D27" s="79"/>
      <c r="E27" s="79"/>
      <c r="F27" s="79"/>
      <c r="G27" s="79"/>
      <c r="H27" s="79"/>
      <c r="I27" s="79"/>
      <c r="J27" s="79"/>
    </row>
    <row r="28" spans="3:10" ht="12.75">
      <c r="C28" s="79"/>
      <c r="D28" s="79"/>
      <c r="E28" s="79"/>
      <c r="F28" s="79"/>
      <c r="G28" s="79"/>
      <c r="H28" s="79"/>
      <c r="I28" s="79"/>
      <c r="J28" s="79"/>
    </row>
    <row r="29" spans="3:10" ht="12.75">
      <c r="C29" s="79"/>
      <c r="D29" s="79"/>
      <c r="E29" s="79"/>
      <c r="F29" s="79"/>
      <c r="G29" s="79"/>
      <c r="H29" s="79"/>
      <c r="I29" s="79"/>
      <c r="J29" s="79"/>
    </row>
    <row r="30" spans="3:10" ht="12.75">
      <c r="C30" s="79"/>
      <c r="D30" s="79"/>
      <c r="E30" s="79"/>
      <c r="F30" s="79"/>
      <c r="G30" s="79"/>
      <c r="H30" s="79"/>
      <c r="I30" s="79"/>
      <c r="J30" s="79"/>
    </row>
    <row r="31" spans="3:10" ht="12.75">
      <c r="C31" s="79"/>
      <c r="D31" s="79"/>
      <c r="E31" s="79"/>
      <c r="F31" s="79"/>
      <c r="G31" s="79"/>
      <c r="H31" s="79"/>
      <c r="I31" s="79"/>
      <c r="J31" s="79"/>
    </row>
    <row r="32" spans="3:10" ht="12.75">
      <c r="C32" s="79"/>
      <c r="D32" s="79"/>
      <c r="E32" s="79"/>
      <c r="F32" s="79"/>
      <c r="G32" s="79"/>
      <c r="H32" s="79"/>
      <c r="I32" s="79"/>
      <c r="J32" s="79"/>
    </row>
    <row r="33" spans="3:10" ht="12.75">
      <c r="C33" s="79"/>
      <c r="D33" s="79"/>
      <c r="E33" s="79"/>
      <c r="F33" s="79"/>
      <c r="G33" s="79"/>
      <c r="H33" s="79"/>
      <c r="I33" s="79"/>
      <c r="J33" s="79"/>
    </row>
    <row r="34" spans="3:10" ht="12.75">
      <c r="C34" s="79"/>
      <c r="D34" s="79"/>
      <c r="E34" s="79"/>
      <c r="F34" s="79"/>
      <c r="G34" s="79"/>
      <c r="H34" s="79"/>
      <c r="I34" s="79"/>
      <c r="J34" s="79"/>
    </row>
    <row r="35" spans="3:10" ht="12.75">
      <c r="C35" s="79"/>
      <c r="D35" s="79"/>
      <c r="E35" s="79"/>
      <c r="F35" s="79"/>
      <c r="G35" s="79"/>
      <c r="H35" s="79"/>
      <c r="I35" s="79"/>
      <c r="J35" s="79"/>
    </row>
    <row r="36" spans="3:10" ht="12.75">
      <c r="C36" s="79"/>
      <c r="D36" s="79"/>
      <c r="E36" s="79"/>
      <c r="F36" s="79"/>
      <c r="G36" s="79"/>
      <c r="H36" s="79"/>
      <c r="I36" s="79"/>
      <c r="J36" s="79"/>
    </row>
    <row r="37" spans="3:10" ht="12.75">
      <c r="C37" s="79"/>
      <c r="D37" s="79"/>
      <c r="E37" s="79"/>
      <c r="F37" s="79"/>
      <c r="G37" s="79"/>
      <c r="H37" s="79"/>
      <c r="I37" s="79"/>
      <c r="J37" s="79"/>
    </row>
    <row r="38" spans="3:10" ht="12.75">
      <c r="C38" s="79"/>
      <c r="D38" s="79"/>
      <c r="E38" s="79"/>
      <c r="F38" s="79"/>
      <c r="G38" s="79"/>
      <c r="H38" s="79"/>
      <c r="I38" s="79"/>
      <c r="J38" s="79"/>
    </row>
    <row r="39" spans="3:10" ht="12.75">
      <c r="C39" s="79"/>
      <c r="D39" s="79"/>
      <c r="E39" s="79"/>
      <c r="F39" s="79"/>
      <c r="G39" s="79"/>
      <c r="H39" s="79"/>
      <c r="I39" s="79"/>
      <c r="J39" s="79"/>
    </row>
    <row r="40" spans="3:10" ht="12.75">
      <c r="C40" s="79"/>
      <c r="D40" s="79"/>
      <c r="E40" s="79"/>
      <c r="F40" s="79"/>
      <c r="G40" s="79"/>
      <c r="H40" s="79"/>
      <c r="I40" s="79"/>
      <c r="J40" s="79"/>
    </row>
    <row r="41" spans="3:10" ht="12.75">
      <c r="C41" s="79"/>
      <c r="D41" s="79"/>
      <c r="E41" s="79"/>
      <c r="F41" s="79"/>
      <c r="G41" s="79"/>
      <c r="H41" s="79"/>
      <c r="I41" s="79"/>
      <c r="J41" s="79"/>
    </row>
    <row r="42" spans="3:10" ht="12.75">
      <c r="C42" s="79"/>
      <c r="D42" s="79"/>
      <c r="E42" s="79"/>
      <c r="F42" s="79"/>
      <c r="G42" s="79"/>
      <c r="H42" s="79"/>
      <c r="I42" s="79"/>
      <c r="J42" s="79"/>
    </row>
    <row r="43" spans="3:10" ht="12.75">
      <c r="C43" s="79"/>
      <c r="D43" s="79"/>
      <c r="E43" s="79"/>
      <c r="F43" s="79"/>
      <c r="G43" s="79"/>
      <c r="H43" s="79"/>
      <c r="I43" s="79"/>
      <c r="J43" s="79"/>
    </row>
    <row r="44" spans="3:10" ht="12.75">
      <c r="C44" s="79"/>
      <c r="D44" s="79"/>
      <c r="E44" s="79"/>
      <c r="F44" s="79"/>
      <c r="G44" s="79"/>
      <c r="H44" s="79"/>
      <c r="I44" s="79"/>
      <c r="J44" s="79"/>
    </row>
    <row r="45" spans="3:10" ht="12.75">
      <c r="C45" s="79"/>
      <c r="D45" s="79"/>
      <c r="E45" s="79"/>
      <c r="F45" s="79"/>
      <c r="G45" s="79"/>
      <c r="H45" s="79"/>
      <c r="I45" s="79"/>
      <c r="J45" s="79"/>
    </row>
    <row r="46" spans="3:10" ht="12.75">
      <c r="C46" s="79"/>
      <c r="D46" s="79"/>
      <c r="E46" s="79"/>
      <c r="F46" s="79"/>
      <c r="G46" s="79"/>
      <c r="H46" s="79"/>
      <c r="I46" s="79"/>
      <c r="J46" s="79"/>
    </row>
    <row r="47" spans="3:10" ht="12.75">
      <c r="C47" s="79"/>
      <c r="D47" s="79"/>
      <c r="E47" s="79"/>
      <c r="F47" s="79"/>
      <c r="G47" s="79"/>
      <c r="H47" s="79"/>
      <c r="I47" s="79"/>
      <c r="J47" s="79"/>
    </row>
    <row r="48" spans="3:10" ht="12.75">
      <c r="C48" s="79"/>
      <c r="D48" s="79"/>
      <c r="E48" s="79"/>
      <c r="F48" s="79"/>
      <c r="G48" s="79"/>
      <c r="H48" s="79"/>
      <c r="I48" s="79"/>
      <c r="J48" s="79"/>
    </row>
    <row r="49" spans="3:10" ht="12.75">
      <c r="C49" s="79"/>
      <c r="D49" s="79"/>
      <c r="E49" s="79"/>
      <c r="F49" s="79"/>
      <c r="G49" s="79"/>
      <c r="H49" s="79"/>
      <c r="I49" s="79"/>
      <c r="J49" s="79"/>
    </row>
    <row r="50" spans="3:10" ht="12.75">
      <c r="C50" s="79"/>
      <c r="D50" s="79"/>
      <c r="E50" s="79"/>
      <c r="F50" s="79"/>
      <c r="G50" s="79"/>
      <c r="H50" s="79"/>
      <c r="I50" s="79"/>
      <c r="J50" s="79"/>
    </row>
    <row r="51" spans="3:10" ht="12.75">
      <c r="C51" s="79"/>
      <c r="D51" s="79"/>
      <c r="E51" s="79"/>
      <c r="F51" s="79"/>
      <c r="G51" s="79"/>
      <c r="H51" s="79"/>
      <c r="I51" s="79"/>
      <c r="J51" s="79"/>
    </row>
    <row r="52" spans="3:10" ht="12.75">
      <c r="C52" s="79"/>
      <c r="D52" s="79"/>
      <c r="E52" s="79"/>
      <c r="F52" s="79"/>
      <c r="G52" s="79"/>
      <c r="H52" s="79"/>
      <c r="I52" s="79"/>
      <c r="J52" s="79"/>
    </row>
  </sheetData>
  <sheetProtection password="9C6E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I101"/>
  <sheetViews>
    <sheetView tabSelected="1" zoomScalePageLayoutView="0" workbookViewId="0" topLeftCell="A79">
      <selection activeCell="C103" sqref="C103"/>
    </sheetView>
  </sheetViews>
  <sheetFormatPr defaultColWidth="11.421875" defaultRowHeight="12.75"/>
  <cols>
    <col min="2" max="2" width="17.140625" style="0" customWidth="1"/>
    <col min="3" max="3" width="46.28125" style="0" customWidth="1"/>
    <col min="4" max="4" width="13.8515625" style="0" bestFit="1" customWidth="1"/>
    <col min="6" max="6" width="12.8515625" style="0" bestFit="1" customWidth="1"/>
    <col min="8" max="8" width="12.8515625" style="0" bestFit="1" customWidth="1"/>
  </cols>
  <sheetData>
    <row r="3" ht="12.75">
      <c r="B3" s="458" t="s">
        <v>347</v>
      </c>
    </row>
    <row r="4" ht="12.75">
      <c r="B4" s="458"/>
    </row>
    <row r="5" ht="12.75">
      <c r="B5" s="459" t="s">
        <v>399</v>
      </c>
    </row>
    <row r="6" ht="12.75">
      <c r="B6" s="459" t="s">
        <v>400</v>
      </c>
    </row>
    <row r="7" ht="12.75">
      <c r="B7" s="459" t="s">
        <v>444</v>
      </c>
    </row>
    <row r="8" ht="12.75">
      <c r="B8" s="459" t="s">
        <v>415</v>
      </c>
    </row>
    <row r="9" ht="12.75">
      <c r="B9" s="459" t="s">
        <v>401</v>
      </c>
    </row>
    <row r="10" ht="12.75">
      <c r="B10" s="459" t="s">
        <v>402</v>
      </c>
    </row>
    <row r="11" ht="12.75">
      <c r="B11" s="459" t="s">
        <v>430</v>
      </c>
    </row>
    <row r="12" ht="12.75">
      <c r="B12" s="459" t="s">
        <v>414</v>
      </c>
    </row>
    <row r="13" ht="12.75">
      <c r="B13" s="459"/>
    </row>
    <row r="14" ht="12.75">
      <c r="B14" s="459" t="s">
        <v>431</v>
      </c>
    </row>
    <row r="15" spans="2:3" ht="15">
      <c r="B15" s="645" t="s">
        <v>348</v>
      </c>
      <c r="C15" s="645"/>
    </row>
    <row r="16" spans="2:3" ht="14.25">
      <c r="B16" s="460" t="s">
        <v>349</v>
      </c>
      <c r="C16" s="460" t="s">
        <v>350</v>
      </c>
    </row>
    <row r="17" spans="2:3" ht="15">
      <c r="B17" s="461" t="s">
        <v>351</v>
      </c>
      <c r="C17" s="461" t="s">
        <v>352</v>
      </c>
    </row>
    <row r="18" spans="2:3" ht="14.25">
      <c r="B18" s="460" t="s">
        <v>353</v>
      </c>
      <c r="C18" s="460" t="s">
        <v>350</v>
      </c>
    </row>
    <row r="19" spans="2:3" ht="15">
      <c r="B19" s="461" t="s">
        <v>354</v>
      </c>
      <c r="C19" s="461" t="s">
        <v>355</v>
      </c>
    </row>
    <row r="20" spans="2:3" ht="14.25">
      <c r="B20" s="460" t="s">
        <v>356</v>
      </c>
      <c r="C20" s="460" t="s">
        <v>350</v>
      </c>
    </row>
    <row r="21" spans="2:3" ht="15">
      <c r="B21" s="461" t="s">
        <v>357</v>
      </c>
      <c r="C21" s="461" t="s">
        <v>358</v>
      </c>
    </row>
    <row r="22" spans="2:3" ht="14.25">
      <c r="B22" s="460" t="s">
        <v>359</v>
      </c>
      <c r="C22" s="460" t="s">
        <v>350</v>
      </c>
    </row>
    <row r="23" spans="2:3" ht="15">
      <c r="B23" s="461" t="s">
        <v>360</v>
      </c>
      <c r="C23" s="461" t="s">
        <v>361</v>
      </c>
    </row>
    <row r="24" spans="2:3" ht="14.25">
      <c r="B24" s="460" t="s">
        <v>362</v>
      </c>
      <c r="C24" s="460" t="s">
        <v>350</v>
      </c>
    </row>
    <row r="25" spans="2:3" ht="15">
      <c r="B25" s="461" t="s">
        <v>363</v>
      </c>
      <c r="C25" s="461" t="s">
        <v>364</v>
      </c>
    </row>
    <row r="26" spans="2:3" ht="14.25">
      <c r="B26" s="462" t="s">
        <v>365</v>
      </c>
      <c r="C26" s="462" t="s">
        <v>350</v>
      </c>
    </row>
    <row r="27" spans="2:3" ht="15">
      <c r="B27" s="461" t="s">
        <v>366</v>
      </c>
      <c r="C27" s="461" t="s">
        <v>355</v>
      </c>
    </row>
    <row r="28" spans="2:3" ht="14.25">
      <c r="B28" s="462" t="s">
        <v>367</v>
      </c>
      <c r="C28" s="462" t="s">
        <v>350</v>
      </c>
    </row>
    <row r="29" spans="2:3" ht="15">
      <c r="B29" s="461" t="s">
        <v>368</v>
      </c>
      <c r="C29" s="461" t="s">
        <v>358</v>
      </c>
    </row>
    <row r="30" spans="2:6" ht="18">
      <c r="B30" s="462" t="s">
        <v>369</v>
      </c>
      <c r="C30" s="462" t="s">
        <v>350</v>
      </c>
      <c r="F30" s="512" t="s">
        <v>446</v>
      </c>
    </row>
    <row r="31" spans="2:3" ht="15">
      <c r="B31" s="461" t="s">
        <v>370</v>
      </c>
      <c r="C31" s="461" t="s">
        <v>361</v>
      </c>
    </row>
    <row r="34" spans="2:8" ht="25.5">
      <c r="B34" s="463"/>
      <c r="C34" s="464" t="s">
        <v>371</v>
      </c>
      <c r="F34" s="489" t="s">
        <v>416</v>
      </c>
      <c r="G34" s="459"/>
      <c r="H34" s="488" t="s">
        <v>445</v>
      </c>
    </row>
    <row r="35" spans="2:3" ht="15">
      <c r="B35" s="465" t="s">
        <v>372</v>
      </c>
      <c r="C35" s="465" t="s">
        <v>373</v>
      </c>
    </row>
    <row r="36" spans="2:9" ht="14.25">
      <c r="B36" s="466">
        <v>1</v>
      </c>
      <c r="C36" s="467" t="s">
        <v>374</v>
      </c>
      <c r="D36" t="s">
        <v>432</v>
      </c>
      <c r="F36" s="487">
        <f>'F) Resumen Tarifado '!I10</f>
        <v>119800</v>
      </c>
      <c r="H36" s="487">
        <f>F36</f>
        <v>119800</v>
      </c>
      <c r="I36" t="s">
        <v>471</v>
      </c>
    </row>
    <row r="37" spans="2:8" ht="14.25">
      <c r="B37" s="466">
        <v>2</v>
      </c>
      <c r="C37" s="467" t="s">
        <v>375</v>
      </c>
      <c r="D37" s="509" t="s">
        <v>475</v>
      </c>
      <c r="E37" s="509"/>
      <c r="F37" s="510">
        <f>'F) Resumen Tarifado '!H10</f>
        <v>83600</v>
      </c>
      <c r="G37" s="509"/>
      <c r="H37" s="510">
        <f>F37</f>
        <v>83600</v>
      </c>
    </row>
    <row r="38" spans="2:9" ht="14.25">
      <c r="B38" s="466">
        <v>3</v>
      </c>
      <c r="C38" s="467" t="s">
        <v>376</v>
      </c>
      <c r="D38" t="s">
        <v>432</v>
      </c>
      <c r="F38" s="487">
        <f>'F) Resumen Tarifado '!I10</f>
        <v>119800</v>
      </c>
      <c r="H38" s="487">
        <f>F38</f>
        <v>119800</v>
      </c>
      <c r="I38" t="s">
        <v>471</v>
      </c>
    </row>
    <row r="39" spans="2:8" ht="14.25">
      <c r="B39" s="466">
        <v>4</v>
      </c>
      <c r="C39" s="468" t="s">
        <v>377</v>
      </c>
      <c r="D39" s="509" t="s">
        <v>476</v>
      </c>
      <c r="E39" s="509"/>
      <c r="F39" s="510">
        <f>'F) Resumen Tarifado '!H10</f>
        <v>83600</v>
      </c>
      <c r="G39" s="509"/>
      <c r="H39" s="510">
        <f>F39</f>
        <v>83600</v>
      </c>
    </row>
    <row r="40" spans="2:3" ht="14.25">
      <c r="B40" s="463"/>
      <c r="C40" s="463"/>
    </row>
    <row r="41" spans="2:3" ht="14.25">
      <c r="B41" s="463"/>
      <c r="C41" s="463"/>
    </row>
    <row r="42" spans="2:3" ht="15">
      <c r="B42" s="463"/>
      <c r="C42" s="469" t="s">
        <v>378</v>
      </c>
    </row>
    <row r="43" spans="2:3" ht="15">
      <c r="B43" s="465" t="s">
        <v>372</v>
      </c>
      <c r="C43" s="465" t="s">
        <v>373</v>
      </c>
    </row>
    <row r="44" spans="2:8" ht="14.25">
      <c r="B44" s="466">
        <v>1</v>
      </c>
      <c r="C44" s="470" t="s">
        <v>379</v>
      </c>
      <c r="D44" t="s">
        <v>432</v>
      </c>
      <c r="F44" s="487">
        <f>'F) Resumen Tarifado '!I11</f>
        <v>88600</v>
      </c>
      <c r="H44" s="487">
        <f>F44</f>
        <v>88600</v>
      </c>
    </row>
    <row r="45" spans="2:9" ht="14.25">
      <c r="B45" s="466">
        <v>2</v>
      </c>
      <c r="C45" s="470" t="s">
        <v>380</v>
      </c>
      <c r="D45" t="s">
        <v>432</v>
      </c>
      <c r="F45" s="487">
        <f>'F) Resumen Tarifado '!I11</f>
        <v>88600</v>
      </c>
      <c r="H45" s="487"/>
      <c r="I45" t="s">
        <v>438</v>
      </c>
    </row>
    <row r="46" spans="2:9" ht="14.25">
      <c r="B46" s="466">
        <v>3</v>
      </c>
      <c r="C46" s="471" t="s">
        <v>381</v>
      </c>
      <c r="D46" s="509" t="s">
        <v>433</v>
      </c>
      <c r="E46" s="509"/>
      <c r="F46" s="510">
        <f>'F) Resumen Tarifado '!H12</f>
        <v>92900</v>
      </c>
      <c r="G46" s="509"/>
      <c r="H46" s="510">
        <f>F46</f>
        <v>92900</v>
      </c>
      <c r="I46" t="s">
        <v>471</v>
      </c>
    </row>
    <row r="47" spans="2:8" ht="14.25">
      <c r="B47" s="466">
        <v>4</v>
      </c>
      <c r="C47" s="472" t="s">
        <v>382</v>
      </c>
      <c r="D47" t="s">
        <v>472</v>
      </c>
      <c r="F47" s="487">
        <f>'F) Resumen Tarifado '!I11</f>
        <v>88600</v>
      </c>
      <c r="H47" s="487">
        <f>F47</f>
        <v>88600</v>
      </c>
    </row>
    <row r="48" spans="2:8" ht="14.25">
      <c r="B48" s="466">
        <v>5</v>
      </c>
      <c r="C48" s="471" t="s">
        <v>383</v>
      </c>
      <c r="D48" t="s">
        <v>472</v>
      </c>
      <c r="F48" s="487">
        <f>'F) Resumen Tarifado '!I12</f>
        <v>130200</v>
      </c>
      <c r="H48" s="487">
        <f>F48</f>
        <v>130200</v>
      </c>
    </row>
    <row r="49" spans="2:8" ht="14.25">
      <c r="B49" s="466">
        <v>6</v>
      </c>
      <c r="C49" s="472" t="s">
        <v>384</v>
      </c>
      <c r="D49" t="s">
        <v>432</v>
      </c>
      <c r="F49" s="487">
        <f>'F) Resumen Tarifado '!I11</f>
        <v>88600</v>
      </c>
      <c r="H49" s="487">
        <f>F49</f>
        <v>88600</v>
      </c>
    </row>
    <row r="50" spans="2:9" ht="14.25">
      <c r="B50" s="466">
        <v>7</v>
      </c>
      <c r="C50" s="472" t="s">
        <v>385</v>
      </c>
      <c r="D50" t="s">
        <v>473</v>
      </c>
      <c r="F50" s="487">
        <f>'F) Resumen Tarifado '!I12</f>
        <v>130200</v>
      </c>
      <c r="H50" s="487">
        <f>F50</f>
        <v>130200</v>
      </c>
      <c r="I50" t="s">
        <v>474</v>
      </c>
    </row>
    <row r="51" spans="2:3" ht="14.25">
      <c r="B51" s="473"/>
      <c r="C51" s="474"/>
    </row>
    <row r="52" spans="2:3" ht="14.25">
      <c r="B52" s="473"/>
      <c r="C52" s="474"/>
    </row>
    <row r="53" spans="2:3" ht="15">
      <c r="B53" s="473"/>
      <c r="C53" s="464" t="s">
        <v>386</v>
      </c>
    </row>
    <row r="54" spans="2:3" ht="15">
      <c r="B54" s="465" t="s">
        <v>372</v>
      </c>
      <c r="C54" s="465" t="s">
        <v>373</v>
      </c>
    </row>
    <row r="55" spans="2:8" ht="14.25">
      <c r="B55" s="466">
        <v>1</v>
      </c>
      <c r="C55" s="470" t="s">
        <v>387</v>
      </c>
      <c r="D55" t="s">
        <v>434</v>
      </c>
      <c r="F55" s="487">
        <f>'F) Resumen Tarifado '!L11</f>
        <v>121900</v>
      </c>
      <c r="H55" s="487">
        <f>F55</f>
        <v>121900</v>
      </c>
    </row>
    <row r="56" spans="2:8" ht="14.25">
      <c r="B56" s="466">
        <v>2</v>
      </c>
      <c r="C56" s="475" t="s">
        <v>388</v>
      </c>
      <c r="D56" s="509" t="s">
        <v>435</v>
      </c>
      <c r="E56" s="509"/>
      <c r="F56" s="510">
        <f>'F) Resumen Tarifado '!H11</f>
        <v>66300</v>
      </c>
      <c r="G56" s="509"/>
      <c r="H56" s="510">
        <f>F56</f>
        <v>66300</v>
      </c>
    </row>
    <row r="57" spans="2:8" ht="14.25">
      <c r="B57" s="466">
        <v>3</v>
      </c>
      <c r="C57" s="470" t="s">
        <v>389</v>
      </c>
      <c r="D57" t="s">
        <v>434</v>
      </c>
      <c r="F57" s="487">
        <f>'F) Resumen Tarifado '!L11</f>
        <v>121900</v>
      </c>
      <c r="H57" s="487">
        <f>F57</f>
        <v>121900</v>
      </c>
    </row>
    <row r="58" spans="2:8" ht="14.25">
      <c r="B58" s="466">
        <v>4</v>
      </c>
      <c r="C58" s="470" t="s">
        <v>390</v>
      </c>
      <c r="D58" s="509" t="s">
        <v>436</v>
      </c>
      <c r="E58" s="509"/>
      <c r="F58" s="510">
        <f>'F) Resumen Tarifado '!H11</f>
        <v>66300</v>
      </c>
      <c r="G58" s="509"/>
      <c r="H58" s="510">
        <f>F58</f>
        <v>66300</v>
      </c>
    </row>
    <row r="59" spans="2:8" ht="14.25">
      <c r="B59" s="466">
        <v>5</v>
      </c>
      <c r="C59" s="471" t="s">
        <v>391</v>
      </c>
      <c r="D59" t="s">
        <v>437</v>
      </c>
      <c r="F59" s="487">
        <f>'F) Resumen Tarifado '!I12</f>
        <v>130200</v>
      </c>
      <c r="H59" s="487">
        <f>F59</f>
        <v>130200</v>
      </c>
    </row>
    <row r="60" spans="2:3" ht="14.25">
      <c r="B60" s="463"/>
      <c r="C60" s="463"/>
    </row>
    <row r="61" spans="2:3" ht="14.25">
      <c r="B61" s="463"/>
      <c r="C61" s="463"/>
    </row>
    <row r="62" spans="2:3" ht="15">
      <c r="B62" s="463"/>
      <c r="C62" s="464" t="s">
        <v>392</v>
      </c>
    </row>
    <row r="63" spans="2:3" ht="15">
      <c r="B63" s="465" t="s">
        <v>372</v>
      </c>
      <c r="C63" s="465" t="s">
        <v>373</v>
      </c>
    </row>
    <row r="64" spans="2:8" ht="14.25">
      <c r="B64" s="466">
        <v>1</v>
      </c>
      <c r="C64" s="470" t="s">
        <v>393</v>
      </c>
      <c r="D64" t="s">
        <v>434</v>
      </c>
      <c r="F64" s="487">
        <f>'F) Resumen Tarifado '!L11</f>
        <v>121900</v>
      </c>
      <c r="H64" s="487">
        <f aca="true" t="shared" si="0" ref="H64:H69">F64</f>
        <v>121900</v>
      </c>
    </row>
    <row r="65" spans="2:9" ht="14.25">
      <c r="B65" s="466">
        <v>2</v>
      </c>
      <c r="C65" s="470" t="s">
        <v>394</v>
      </c>
      <c r="D65" s="509" t="s">
        <v>480</v>
      </c>
      <c r="E65" s="509"/>
      <c r="F65" s="510">
        <f>'F) Resumen Tarifado '!H12</f>
        <v>92900</v>
      </c>
      <c r="G65" s="509"/>
      <c r="H65" s="510"/>
      <c r="I65" t="s">
        <v>481</v>
      </c>
    </row>
    <row r="66" spans="2:8" ht="14.25">
      <c r="B66" s="466">
        <v>3</v>
      </c>
      <c r="C66" s="471" t="s">
        <v>395</v>
      </c>
      <c r="D66" t="s">
        <v>432</v>
      </c>
      <c r="F66" s="487">
        <f>'F) Resumen Tarifado '!I12</f>
        <v>130200</v>
      </c>
      <c r="H66" s="487">
        <f t="shared" si="0"/>
        <v>130200</v>
      </c>
    </row>
    <row r="67" spans="2:8" ht="14.25">
      <c r="B67" s="466">
        <v>4</v>
      </c>
      <c r="C67" s="471" t="s">
        <v>396</v>
      </c>
      <c r="D67" t="s">
        <v>434</v>
      </c>
      <c r="F67" s="487">
        <f>'F) Resumen Tarifado '!L11</f>
        <v>121900</v>
      </c>
      <c r="H67" s="487">
        <f t="shared" si="0"/>
        <v>121900</v>
      </c>
    </row>
    <row r="68" spans="2:8" ht="14.25">
      <c r="B68" s="466">
        <v>5</v>
      </c>
      <c r="C68" s="471" t="s">
        <v>397</v>
      </c>
      <c r="D68" t="s">
        <v>434</v>
      </c>
      <c r="F68" s="487">
        <f>'F) Resumen Tarifado '!L11</f>
        <v>121900</v>
      </c>
      <c r="H68" s="487">
        <f t="shared" si="0"/>
        <v>121900</v>
      </c>
    </row>
    <row r="69" spans="2:8" ht="14.25">
      <c r="B69" s="466">
        <v>6</v>
      </c>
      <c r="C69" s="471" t="s">
        <v>398</v>
      </c>
      <c r="D69" t="s">
        <v>434</v>
      </c>
      <c r="F69" s="487">
        <f>'F) Resumen Tarifado '!L12</f>
        <v>161800</v>
      </c>
      <c r="H69" s="487">
        <f t="shared" si="0"/>
        <v>161800</v>
      </c>
    </row>
    <row r="70" spans="2:3" ht="14.25">
      <c r="B70" s="463"/>
      <c r="C70" s="463"/>
    </row>
    <row r="71" spans="6:8" ht="12.75">
      <c r="F71" s="508">
        <f>SUM(F36:F69)*11</f>
        <v>26088700</v>
      </c>
      <c r="H71" s="508">
        <f>SUM(H36:H69)*11</f>
        <v>24092200</v>
      </c>
    </row>
    <row r="72" spans="6:8" ht="12.75">
      <c r="F72" t="s">
        <v>247</v>
      </c>
      <c r="H72" t="s">
        <v>247</v>
      </c>
    </row>
    <row r="73" spans="6:8" ht="12.75">
      <c r="F73" t="s">
        <v>439</v>
      </c>
      <c r="H73" t="s">
        <v>439</v>
      </c>
    </row>
    <row r="74" spans="6:8" ht="12.75">
      <c r="F74" t="s">
        <v>440</v>
      </c>
      <c r="H74" t="s">
        <v>440</v>
      </c>
    </row>
    <row r="77" spans="3:5" ht="12.75">
      <c r="C77" s="513" t="s">
        <v>447</v>
      </c>
      <c r="D77" s="514">
        <f>'E) Resumen Ingresos y Egresos'!I9</f>
        <v>197304292.96499997</v>
      </c>
      <c r="E77" t="s">
        <v>478</v>
      </c>
    </row>
    <row r="78" spans="3:6" ht="12.75">
      <c r="C78" s="513" t="s">
        <v>448</v>
      </c>
      <c r="D78" s="514">
        <f>'E) Resumen Ingresos y Egresos'!F9</f>
        <v>151933685.49</v>
      </c>
      <c r="E78" t="s">
        <v>479</v>
      </c>
      <c r="F78" t="s">
        <v>477</v>
      </c>
    </row>
    <row r="79" spans="3:4" ht="12.75">
      <c r="C79" s="513" t="s">
        <v>449</v>
      </c>
      <c r="D79" s="515">
        <f>'E) Resumen Ingresos y Egresos'!J9</f>
        <v>-45370607.474999964</v>
      </c>
    </row>
    <row r="82" ht="12.75">
      <c r="C82" s="517" t="s">
        <v>452</v>
      </c>
    </row>
    <row r="83" spans="2:3" ht="12.75">
      <c r="B83" s="459" t="s">
        <v>450</v>
      </c>
      <c r="C83" s="433" t="s">
        <v>453</v>
      </c>
    </row>
    <row r="84" spans="2:3" ht="12.75">
      <c r="B84" s="459"/>
      <c r="C84" s="516" t="s">
        <v>454</v>
      </c>
    </row>
    <row r="85" ht="12.75">
      <c r="C85" s="434" t="s">
        <v>456</v>
      </c>
    </row>
    <row r="86" ht="12.75">
      <c r="C86" s="516" t="s">
        <v>455</v>
      </c>
    </row>
    <row r="87" spans="2:3" ht="12.75">
      <c r="B87" s="459" t="s">
        <v>451</v>
      </c>
      <c r="C87" s="433" t="s">
        <v>457</v>
      </c>
    </row>
    <row r="88" ht="12.75">
      <c r="C88" s="434" t="s">
        <v>459</v>
      </c>
    </row>
    <row r="89" ht="12.75">
      <c r="C89" s="516" t="s">
        <v>458</v>
      </c>
    </row>
    <row r="90" ht="12.75">
      <c r="C90" s="519" t="s">
        <v>460</v>
      </c>
    </row>
    <row r="91" ht="12.75">
      <c r="C91" s="518" t="s">
        <v>461</v>
      </c>
    </row>
    <row r="92" ht="12.75">
      <c r="C92" s="518" t="s">
        <v>462</v>
      </c>
    </row>
    <row r="93" ht="12.75">
      <c r="C93" s="520" t="s">
        <v>463</v>
      </c>
    </row>
    <row r="96" spans="2:3" ht="12.75">
      <c r="B96" s="459" t="s">
        <v>464</v>
      </c>
      <c r="C96" t="s">
        <v>465</v>
      </c>
    </row>
    <row r="97" ht="12.75">
      <c r="C97" t="s">
        <v>466</v>
      </c>
    </row>
    <row r="98" ht="12.75">
      <c r="C98" t="s">
        <v>467</v>
      </c>
    </row>
    <row r="99" ht="12.75">
      <c r="C99" t="s">
        <v>468</v>
      </c>
    </row>
    <row r="100" ht="12.75">
      <c r="C100" t="s">
        <v>469</v>
      </c>
    </row>
    <row r="101" ht="12.75">
      <c r="C101" t="s">
        <v>470</v>
      </c>
    </row>
  </sheetData>
  <sheetProtection/>
  <mergeCells count="1">
    <mergeCell ref="B15:C15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showGridLines="0" zoomScale="80" zoomScaleNormal="80" zoomScalePageLayoutView="0" workbookViewId="0" topLeftCell="A1">
      <selection activeCell="G61" sqref="G61"/>
    </sheetView>
  </sheetViews>
  <sheetFormatPr defaultColWidth="11.421875" defaultRowHeight="12.75"/>
  <cols>
    <col min="1" max="16384" width="11.421875" style="80" customWidth="1"/>
  </cols>
  <sheetData>
    <row r="1" ht="12.75">
      <c r="H1" s="47" t="s">
        <v>101</v>
      </c>
    </row>
    <row r="2" ht="12.75">
      <c r="H2" s="47" t="s">
        <v>53</v>
      </c>
    </row>
    <row r="5" spans="2:6" s="81" customFormat="1" ht="18">
      <c r="B5" s="522" t="s">
        <v>54</v>
      </c>
      <c r="C5" s="522"/>
      <c r="D5" s="522"/>
      <c r="E5" s="522"/>
      <c r="F5" s="522"/>
    </row>
    <row r="7" spans="3:11" ht="12.75">
      <c r="C7" s="521" t="s">
        <v>63</v>
      </c>
      <c r="D7" s="521"/>
      <c r="E7" s="521"/>
      <c r="F7" s="521"/>
      <c r="G7" s="521"/>
      <c r="H7" s="521"/>
      <c r="I7" s="521"/>
      <c r="J7" s="521"/>
      <c r="K7" s="521"/>
    </row>
    <row r="9" spans="3:11" ht="12.75">
      <c r="C9" s="521" t="s">
        <v>64</v>
      </c>
      <c r="D9" s="521"/>
      <c r="E9" s="521"/>
      <c r="F9" s="521"/>
      <c r="G9" s="521"/>
      <c r="H9" s="521"/>
      <c r="I9" s="521"/>
      <c r="J9" s="521"/>
      <c r="K9" s="521"/>
    </row>
    <row r="13" spans="2:6" s="81" customFormat="1" ht="18">
      <c r="B13" s="522" t="s">
        <v>55</v>
      </c>
      <c r="C13" s="522"/>
      <c r="D13" s="522"/>
      <c r="E13" s="522"/>
      <c r="F13" s="522"/>
    </row>
    <row r="15" spans="3:11" ht="12.75">
      <c r="C15" s="521" t="s">
        <v>83</v>
      </c>
      <c r="D15" s="521"/>
      <c r="E15" s="521"/>
      <c r="F15" s="521"/>
      <c r="G15" s="521"/>
      <c r="H15" s="521"/>
      <c r="I15" s="521"/>
      <c r="J15" s="521"/>
      <c r="K15" s="521"/>
    </row>
    <row r="19" spans="2:6" s="81" customFormat="1" ht="18">
      <c r="B19" s="522" t="s">
        <v>56</v>
      </c>
      <c r="C19" s="522"/>
      <c r="D19" s="522"/>
      <c r="E19" s="522"/>
      <c r="F19" s="522"/>
    </row>
    <row r="21" spans="3:11" ht="12.75">
      <c r="C21" s="521" t="s">
        <v>99</v>
      </c>
      <c r="D21" s="521"/>
      <c r="E21" s="521"/>
      <c r="F21" s="521"/>
      <c r="G21" s="521"/>
      <c r="H21" s="521"/>
      <c r="I21" s="521"/>
      <c r="J21" s="521"/>
      <c r="K21" s="521"/>
    </row>
    <row r="26" spans="2:6" s="81" customFormat="1" ht="18">
      <c r="B26" s="522" t="s">
        <v>105</v>
      </c>
      <c r="C26" s="522"/>
      <c r="D26" s="522"/>
      <c r="E26" s="522"/>
      <c r="F26" s="522"/>
    </row>
    <row r="28" spans="3:10" ht="12.75">
      <c r="C28" s="521" t="s">
        <v>106</v>
      </c>
      <c r="D28" s="521"/>
      <c r="E28" s="521"/>
      <c r="F28" s="521"/>
      <c r="G28" s="521"/>
      <c r="H28" s="521"/>
      <c r="I28" s="521"/>
      <c r="J28" s="521"/>
    </row>
    <row r="33" spans="2:6" s="81" customFormat="1" ht="18">
      <c r="B33" s="522" t="s">
        <v>87</v>
      </c>
      <c r="C33" s="522"/>
      <c r="D33" s="522"/>
      <c r="E33" s="522"/>
      <c r="F33" s="522"/>
    </row>
    <row r="35" spans="3:10" ht="12.75">
      <c r="C35" s="521" t="s">
        <v>108</v>
      </c>
      <c r="D35" s="521"/>
      <c r="E35" s="521"/>
      <c r="F35" s="521"/>
      <c r="G35" s="521"/>
      <c r="H35" s="521"/>
      <c r="I35" s="521"/>
      <c r="J35" s="521"/>
    </row>
    <row r="37" spans="3:10" ht="12.75">
      <c r="C37" s="521" t="s">
        <v>98</v>
      </c>
      <c r="D37" s="521"/>
      <c r="E37" s="521"/>
      <c r="F37" s="521"/>
      <c r="G37" s="521"/>
      <c r="H37" s="521"/>
      <c r="I37" s="521"/>
      <c r="J37" s="521"/>
    </row>
    <row r="41" spans="2:6" s="81" customFormat="1" ht="18">
      <c r="B41" s="522" t="s">
        <v>57</v>
      </c>
      <c r="C41" s="522"/>
      <c r="D41" s="522"/>
      <c r="E41" s="522"/>
      <c r="F41" s="522"/>
    </row>
    <row r="43" spans="3:10" ht="12.75">
      <c r="C43" s="521" t="s">
        <v>107</v>
      </c>
      <c r="D43" s="521"/>
      <c r="E43" s="521"/>
      <c r="F43" s="521"/>
      <c r="G43" s="521"/>
      <c r="H43" s="521"/>
      <c r="I43" s="521"/>
      <c r="J43" s="521"/>
    </row>
    <row r="47" spans="2:6" s="81" customFormat="1" ht="18">
      <c r="B47" s="522" t="s">
        <v>58</v>
      </c>
      <c r="C47" s="522"/>
      <c r="D47" s="522"/>
      <c r="E47" s="522"/>
      <c r="F47" s="522"/>
    </row>
  </sheetData>
  <sheetProtection sheet="1" objects="1" scenarios="1"/>
  <mergeCells count="15">
    <mergeCell ref="B47:F47"/>
    <mergeCell ref="C35:J35"/>
    <mergeCell ref="C37:J37"/>
    <mergeCell ref="C43:J43"/>
    <mergeCell ref="B41:F41"/>
    <mergeCell ref="B33:F33"/>
    <mergeCell ref="C7:K7"/>
    <mergeCell ref="C9:K9"/>
    <mergeCell ref="C15:K15"/>
    <mergeCell ref="C21:K21"/>
    <mergeCell ref="C28:J28"/>
    <mergeCell ref="B5:F5"/>
    <mergeCell ref="B13:F13"/>
    <mergeCell ref="B19:F19"/>
    <mergeCell ref="B26:F26"/>
  </mergeCells>
  <hyperlinks>
    <hyperlink ref="B5" location="'A) Reajuste Tarifas y Ocupación'!A1" display="A) Reajuste Tarifas y Ocupación"/>
    <hyperlink ref="C7" location="'A) Reajuste Tarifas y Ocupación'!B8" display="TABLA 1. REAJUSTE DE TARIFAS POR PRESTACIÓN Y SEGMENTO"/>
    <hyperlink ref="C9" location="'A) Reajuste Tarifas y Ocupación'!N8" display="TABLA 2. METAS DE OCUPACIÓN POR PRESTACIÓN Y SEGMENTO"/>
    <hyperlink ref="B13" location="'B) Comparación Mercado'!A1" display="B) Comparación Mercado"/>
    <hyperlink ref="C15" location="'B) Comparación Mercado'!A13:J36" display="TABLA 1. COMPARACIÓN TARIFAS CON PRECIOS DE MERCADO"/>
    <hyperlink ref="B19" location="'C) Remuneraciones'!A1" display="C) Remuneraciones"/>
    <hyperlink ref="C21" location="'C) Remuneraciones'!A9:M36" display="TABLA 1. REMUNERACIONES DEL PERSONAL CÓDIGO DEL TRABAJO POR CENTRO DE COSTO"/>
    <hyperlink ref="B26" location="'D) Estimación Costos'!A1" display="D) Estimación Costos"/>
    <hyperlink ref="C28" location="'D) Estimación Costos'!A9:L85" display="TABLA 1. COSTOS DIRECTOS POR CENTRO DE COSTO"/>
    <hyperlink ref="B33" location="'E) Resumen Ingresos y Egresos'!A1" display="E) Resumen Ingresos y Egresos"/>
    <hyperlink ref="C35" location="'E) Resumen Ingresos y Egresos'!A7:J25" display="TABLA 1. RESUMEN DE INGRESOS Y EGRESOS POR CENTRO DE COSTO"/>
    <hyperlink ref="C37" location="'E) Resumen Ingresos y Egresos'!A30:J79" display="TABLA 2. DETALLE DE INGRESOS POR CENTRO DE COSTO Y PRESTACIÓN"/>
    <hyperlink ref="B41" location="'F) Resumen Tarifado '!A1" display="F) Resumen Tarifado"/>
    <hyperlink ref="C43" location="'F) Resumen Tarifado '!A7:R40" display="TABLA 1. RESUMEN DE TARIFADO POR CENTRO DE COSTO"/>
    <hyperlink ref="B47" location="'G) Detalle Datos'!A1" display="G) Detalle Datos"/>
    <hyperlink ref="C15:K15" location="'B) Comparación Mercado'!A12" display="TABLA 3: COMPARACIÓN TARIFAS CON PRECIOS DE MERCADO"/>
    <hyperlink ref="C21:K21" location="'C) Remuneraciones'!B7" display="TABLA 4: REMUNERACIONES DEL PERSONAL CÓDIGO DEL TRABAJO POR CENTRO DE COSTO"/>
    <hyperlink ref="C28:J28" location="'D) Estimación Costos'!A8" display="TABLA 6: COSTOS DIRECTOS DE CENTROS DE BENEFICIOS"/>
    <hyperlink ref="C35:J35" location="'E) Resumen Ingresos y Egresos'!A6" display="TABLA 8: RESUMEN DE INGRESOS Y EGRESOS DE CENTROS DE BENEFICIOS"/>
    <hyperlink ref="C37:J37" location="'E) Resumen Ingresos y Egresos'!A15" display="TABLA 7: DETALLE DE INGRESOS POR PRESTACIÓN Y SEGMENTO"/>
    <hyperlink ref="C43:J43" location="'F) Resumen Tarifado '!A6" display="TABLA 10: RESUMEN DE TARIFADO"/>
    <hyperlink ref="C9:K9" location="'A) Reajuste Tarifas y Ocupación'!W8" display="TABLA 2: METAS DE OCUPACIÓN POR PRESTACIÓN Y SEGMENT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IS46"/>
  <sheetViews>
    <sheetView showGridLines="0" zoomScale="80" zoomScaleNormal="80" zoomScalePageLayoutView="0" workbookViewId="0" topLeftCell="A21">
      <selection activeCell="I41" sqref="I41"/>
    </sheetView>
  </sheetViews>
  <sheetFormatPr defaultColWidth="11.421875" defaultRowHeight="12.75"/>
  <cols>
    <col min="1" max="1" width="18.140625" style="48" customWidth="1"/>
    <col min="2" max="2" width="35.7109375" style="27" customWidth="1"/>
    <col min="3" max="3" width="18.00390625" style="48" customWidth="1"/>
    <col min="4" max="5" width="15.57421875" style="48" customWidth="1"/>
    <col min="6" max="6" width="19.57421875" style="48" customWidth="1"/>
    <col min="7" max="7" width="15.7109375" style="48" customWidth="1"/>
    <col min="8" max="8" width="17.7109375" style="48" customWidth="1"/>
    <col min="9" max="10" width="15.8515625" style="48" customWidth="1"/>
    <col min="11" max="11" width="18.28125" style="48" customWidth="1"/>
    <col min="12" max="12" width="16.421875" style="48" customWidth="1"/>
    <col min="13" max="13" width="17.7109375" style="48" customWidth="1"/>
    <col min="14" max="15" width="16.57421875" style="48" customWidth="1"/>
    <col min="16" max="16" width="19.28125" style="48" customWidth="1"/>
    <col min="17" max="17" width="16.421875" style="48" customWidth="1"/>
    <col min="18" max="18" width="11.7109375" style="27" customWidth="1"/>
    <col min="19" max="19" width="11.8515625" style="27" customWidth="1"/>
    <col min="20" max="20" width="14.8515625" style="48" customWidth="1"/>
    <col min="21" max="21" width="35.00390625" style="27" customWidth="1"/>
    <col min="22" max="22" width="17.8515625" style="48" customWidth="1"/>
    <col min="23" max="23" width="15.00390625" style="48" customWidth="1"/>
    <col min="24" max="25" width="16.421875" style="48" customWidth="1"/>
    <col min="26" max="26" width="15.57421875" style="48" customWidth="1"/>
    <col min="27" max="27" width="16.28125" style="48" customWidth="1"/>
    <col min="28" max="28" width="14.7109375" style="48" customWidth="1"/>
    <col min="29" max="16384" width="11.421875" style="48" customWidth="1"/>
  </cols>
  <sheetData>
    <row r="5" spans="1:20" s="5" customFormat="1" ht="12.75">
      <c r="A5" s="4"/>
      <c r="C5" s="6"/>
      <c r="D5" s="47" t="s">
        <v>101</v>
      </c>
      <c r="E5" s="47"/>
      <c r="F5" s="6"/>
      <c r="G5" s="6"/>
      <c r="R5" s="12"/>
      <c r="S5" s="12"/>
      <c r="T5" s="4"/>
    </row>
    <row r="6" spans="1:24" s="5" customFormat="1" ht="12.75">
      <c r="A6" s="7"/>
      <c r="C6" s="6"/>
      <c r="D6" s="47" t="s">
        <v>111</v>
      </c>
      <c r="E6" s="47"/>
      <c r="F6" s="6"/>
      <c r="G6" s="6"/>
      <c r="R6" s="12"/>
      <c r="S6" s="12"/>
      <c r="T6" s="7"/>
      <c r="W6" s="6"/>
      <c r="X6" s="6"/>
    </row>
    <row r="7" spans="1:20" s="5" customFormat="1" ht="12.75">
      <c r="A7" s="3"/>
      <c r="R7" s="12"/>
      <c r="S7" s="12"/>
      <c r="T7" s="3"/>
    </row>
    <row r="8" spans="1:253" s="5" customFormat="1" ht="12.75">
      <c r="A8" s="20"/>
      <c r="B8" s="2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0"/>
      <c r="S8" s="50"/>
      <c r="T8" s="20"/>
      <c r="U8" s="21"/>
      <c r="V8" s="6"/>
      <c r="W8" s="6"/>
      <c r="X8" s="6"/>
      <c r="Y8" s="6"/>
      <c r="Z8" s="6"/>
      <c r="AA8" s="6"/>
      <c r="IN8" s="3"/>
      <c r="IO8" s="3"/>
      <c r="IP8" s="3"/>
      <c r="IQ8" s="3"/>
      <c r="IR8" s="3"/>
      <c r="IS8" s="3"/>
    </row>
    <row r="9" spans="1:253" s="5" customFormat="1" ht="18" customHeight="1">
      <c r="A9" s="20"/>
      <c r="B9" s="21"/>
      <c r="C9" s="74" t="s">
        <v>0</v>
      </c>
      <c r="D9" s="154" t="s">
        <v>110</v>
      </c>
      <c r="E9" s="67"/>
      <c r="F9" s="67"/>
      <c r="G9" s="67"/>
      <c r="R9" s="12"/>
      <c r="S9" s="12"/>
      <c r="T9" s="20"/>
      <c r="U9" s="21"/>
      <c r="W9" s="2"/>
      <c r="IN9" s="3"/>
      <c r="IO9" s="3"/>
      <c r="IP9" s="3"/>
      <c r="IQ9" s="3"/>
      <c r="IR9" s="3"/>
      <c r="IS9" s="3"/>
    </row>
    <row r="10" spans="1:253" s="5" customFormat="1" ht="18" customHeight="1">
      <c r="A10" s="20"/>
      <c r="B10" s="21"/>
      <c r="C10" s="74"/>
      <c r="D10" s="70"/>
      <c r="E10" s="70"/>
      <c r="F10" s="70"/>
      <c r="G10" s="70"/>
      <c r="R10" s="12"/>
      <c r="S10" s="12"/>
      <c r="T10" s="20"/>
      <c r="U10" s="21"/>
      <c r="W10" s="2"/>
      <c r="IN10" s="3"/>
      <c r="IO10" s="3"/>
      <c r="IP10" s="3"/>
      <c r="IQ10" s="3"/>
      <c r="IR10" s="3"/>
      <c r="IS10" s="3"/>
    </row>
    <row r="11" spans="1:253" s="5" customFormat="1" ht="18" customHeight="1">
      <c r="A11" s="20"/>
      <c r="B11" s="21"/>
      <c r="C11" s="74"/>
      <c r="D11" s="70"/>
      <c r="E11" s="70"/>
      <c r="F11" s="70"/>
      <c r="G11" s="70"/>
      <c r="R11" s="12"/>
      <c r="S11" s="12"/>
      <c r="T11" s="20"/>
      <c r="U11" s="21"/>
      <c r="W11" s="62"/>
      <c r="IN11" s="3"/>
      <c r="IO11" s="3"/>
      <c r="IP11" s="3"/>
      <c r="IQ11" s="3"/>
      <c r="IR11" s="3"/>
      <c r="IS11" s="3"/>
    </row>
    <row r="12" spans="1:253" s="12" customFormat="1" ht="15.75">
      <c r="A12" s="152" t="s">
        <v>63</v>
      </c>
      <c r="B12" s="152"/>
      <c r="C12" s="152"/>
      <c r="D12" s="70"/>
      <c r="E12" s="70"/>
      <c r="F12" s="70"/>
      <c r="G12" s="70"/>
      <c r="IN12" s="9"/>
      <c r="IO12" s="9"/>
      <c r="IP12" s="9"/>
      <c r="IQ12" s="9"/>
      <c r="IR12" s="9"/>
      <c r="IS12" s="9"/>
    </row>
    <row r="13" ht="13.5" customHeight="1" thickBot="1">
      <c r="U13" s="48"/>
    </row>
    <row r="14" spans="1:21" ht="15.75" customHeight="1">
      <c r="A14" s="526" t="s">
        <v>79</v>
      </c>
      <c r="B14" s="529" t="s">
        <v>4</v>
      </c>
      <c r="C14" s="523" t="s">
        <v>151</v>
      </c>
      <c r="D14" s="524"/>
      <c r="E14" s="524"/>
      <c r="F14" s="524"/>
      <c r="G14" s="525"/>
      <c r="H14" s="523" t="s">
        <v>75</v>
      </c>
      <c r="I14" s="524"/>
      <c r="J14" s="524"/>
      <c r="K14" s="524"/>
      <c r="L14" s="525"/>
      <c r="M14" s="523" t="s">
        <v>122</v>
      </c>
      <c r="N14" s="524"/>
      <c r="O14" s="524"/>
      <c r="P14" s="524"/>
      <c r="Q14" s="525"/>
      <c r="R14" s="75"/>
      <c r="S14" s="15"/>
      <c r="U14" s="48"/>
    </row>
    <row r="15" spans="1:21" ht="40.5" customHeight="1" thickBot="1">
      <c r="A15" s="527"/>
      <c r="B15" s="530"/>
      <c r="C15" s="155" t="s">
        <v>158</v>
      </c>
      <c r="D15" s="156" t="s">
        <v>159</v>
      </c>
      <c r="E15" s="156" t="s">
        <v>162</v>
      </c>
      <c r="F15" s="156" t="s">
        <v>163</v>
      </c>
      <c r="G15" s="157" t="s">
        <v>160</v>
      </c>
      <c r="H15" s="155" t="s">
        <v>158</v>
      </c>
      <c r="I15" s="156" t="s">
        <v>161</v>
      </c>
      <c r="J15" s="156" t="s">
        <v>162</v>
      </c>
      <c r="K15" s="156" t="s">
        <v>164</v>
      </c>
      <c r="L15" s="157" t="s">
        <v>160</v>
      </c>
      <c r="M15" s="155" t="s">
        <v>158</v>
      </c>
      <c r="N15" s="156" t="s">
        <v>159</v>
      </c>
      <c r="O15" s="156" t="s">
        <v>153</v>
      </c>
      <c r="P15" s="156" t="s">
        <v>164</v>
      </c>
      <c r="Q15" s="157" t="s">
        <v>160</v>
      </c>
      <c r="R15" s="75"/>
      <c r="S15" s="15"/>
      <c r="U15" s="48"/>
    </row>
    <row r="16" spans="1:21" ht="13.5" customHeight="1" thickBot="1">
      <c r="A16" s="531" t="s">
        <v>92</v>
      </c>
      <c r="B16" s="132" t="s">
        <v>109</v>
      </c>
      <c r="C16" s="135">
        <v>83600</v>
      </c>
      <c r="D16" s="136">
        <v>119800</v>
      </c>
      <c r="E16" s="136">
        <v>119100</v>
      </c>
      <c r="F16" s="136">
        <v>119100</v>
      </c>
      <c r="G16" s="137">
        <v>158900</v>
      </c>
      <c r="H16" s="335">
        <v>0</v>
      </c>
      <c r="I16" s="336">
        <f>H16</f>
        <v>0</v>
      </c>
      <c r="J16" s="336">
        <f>H16</f>
        <v>0</v>
      </c>
      <c r="K16" s="336">
        <f>H16</f>
        <v>0</v>
      </c>
      <c r="L16" s="337">
        <f>H16</f>
        <v>0</v>
      </c>
      <c r="M16" s="135">
        <f>CEILING(C16*(1+H16),100)</f>
        <v>83600</v>
      </c>
      <c r="N16" s="136">
        <f>CEILING(D16*(1+I16),100)</f>
        <v>119800</v>
      </c>
      <c r="O16" s="136">
        <f>CEILING(E16*(1+J16),100)</f>
        <v>119100</v>
      </c>
      <c r="P16" s="136">
        <f>CEILING(F16*(1+K16),100)</f>
        <v>119100</v>
      </c>
      <c r="Q16" s="137">
        <f>CEILING(G16*(1+L16),100)</f>
        <v>158900</v>
      </c>
      <c r="R16" s="82"/>
      <c r="S16" s="82"/>
      <c r="U16" s="48"/>
    </row>
    <row r="17" spans="1:21" ht="13.5" customHeight="1" thickBot="1">
      <c r="A17" s="532"/>
      <c r="B17" s="122" t="s">
        <v>113</v>
      </c>
      <c r="C17" s="130">
        <v>66300</v>
      </c>
      <c r="D17" s="101">
        <v>88600</v>
      </c>
      <c r="E17" s="101">
        <v>88900</v>
      </c>
      <c r="F17" s="101">
        <v>88900</v>
      </c>
      <c r="G17" s="105">
        <v>121900</v>
      </c>
      <c r="H17" s="335">
        <v>0</v>
      </c>
      <c r="I17" s="133">
        <f aca="true" t="shared" si="0" ref="I17:I25">H17</f>
        <v>0</v>
      </c>
      <c r="J17" s="133">
        <f aca="true" t="shared" si="1" ref="J17:J25">H17</f>
        <v>0</v>
      </c>
      <c r="K17" s="133">
        <f aca="true" t="shared" si="2" ref="K17:K25">H17</f>
        <v>0</v>
      </c>
      <c r="L17" s="134">
        <f aca="true" t="shared" si="3" ref="L17:L25">H17</f>
        <v>0</v>
      </c>
      <c r="M17" s="130">
        <f aca="true" t="shared" si="4" ref="M17:M25">CEILING(C17*(1+H17),100)</f>
        <v>66300</v>
      </c>
      <c r="N17" s="101">
        <f aca="true" t="shared" si="5" ref="N17:N25">CEILING(D17*(1+I17),100)</f>
        <v>88600</v>
      </c>
      <c r="O17" s="136">
        <f aca="true" t="shared" si="6" ref="O17:O24">CEILING(E17*(1+J17),100)</f>
        <v>88900</v>
      </c>
      <c r="P17" s="136">
        <f aca="true" t="shared" si="7" ref="P17:P25">CEILING(F17*(1+K17),100)</f>
        <v>88900</v>
      </c>
      <c r="Q17" s="105">
        <f aca="true" t="shared" si="8" ref="Q17:Q25">CEILING(G17*(1+L17),100)</f>
        <v>121900</v>
      </c>
      <c r="R17" s="82"/>
      <c r="U17" s="48"/>
    </row>
    <row r="18" spans="1:21" ht="13.5" customHeight="1" thickBot="1">
      <c r="A18" s="532"/>
      <c r="B18" s="122" t="s">
        <v>112</v>
      </c>
      <c r="C18" s="130">
        <v>92900</v>
      </c>
      <c r="D18" s="101">
        <v>130200</v>
      </c>
      <c r="E18" s="101">
        <v>130400</v>
      </c>
      <c r="F18" s="101">
        <v>130400</v>
      </c>
      <c r="G18" s="105">
        <v>161800</v>
      </c>
      <c r="H18" s="335">
        <v>0</v>
      </c>
      <c r="I18" s="133">
        <f t="shared" si="0"/>
        <v>0</v>
      </c>
      <c r="J18" s="133">
        <f t="shared" si="1"/>
        <v>0</v>
      </c>
      <c r="K18" s="133">
        <f t="shared" si="2"/>
        <v>0</v>
      </c>
      <c r="L18" s="134">
        <f t="shared" si="3"/>
        <v>0</v>
      </c>
      <c r="M18" s="130">
        <f>CEILING(C18*(1+H18),100)</f>
        <v>92900</v>
      </c>
      <c r="N18" s="101">
        <f t="shared" si="5"/>
        <v>130200</v>
      </c>
      <c r="O18" s="136">
        <f t="shared" si="6"/>
        <v>130400</v>
      </c>
      <c r="P18" s="136">
        <f t="shared" si="7"/>
        <v>130400</v>
      </c>
      <c r="Q18" s="105">
        <f t="shared" si="8"/>
        <v>161800</v>
      </c>
      <c r="R18" s="82"/>
      <c r="U18" s="48"/>
    </row>
    <row r="19" spans="1:21" ht="13.5" customHeight="1" thickBot="1">
      <c r="A19" s="532"/>
      <c r="B19" s="122" t="s">
        <v>114</v>
      </c>
      <c r="C19" s="130">
        <v>58400</v>
      </c>
      <c r="D19" s="101">
        <v>88600</v>
      </c>
      <c r="E19" s="101">
        <v>88900</v>
      </c>
      <c r="F19" s="101">
        <v>88900</v>
      </c>
      <c r="G19" s="105">
        <v>115200</v>
      </c>
      <c r="H19" s="335">
        <v>0</v>
      </c>
      <c r="I19" s="133">
        <f t="shared" si="0"/>
        <v>0</v>
      </c>
      <c r="J19" s="133">
        <f t="shared" si="1"/>
        <v>0</v>
      </c>
      <c r="K19" s="133">
        <f t="shared" si="2"/>
        <v>0</v>
      </c>
      <c r="L19" s="134">
        <f t="shared" si="3"/>
        <v>0</v>
      </c>
      <c r="M19" s="130">
        <f t="shared" si="4"/>
        <v>58400</v>
      </c>
      <c r="N19" s="101">
        <f t="shared" si="5"/>
        <v>88600</v>
      </c>
      <c r="O19" s="136">
        <f t="shared" si="6"/>
        <v>88900</v>
      </c>
      <c r="P19" s="136">
        <f t="shared" si="7"/>
        <v>88900</v>
      </c>
      <c r="Q19" s="105">
        <f t="shared" si="8"/>
        <v>115200</v>
      </c>
      <c r="R19" s="82"/>
      <c r="U19" s="48"/>
    </row>
    <row r="20" spans="1:21" ht="13.5" customHeight="1" thickBot="1">
      <c r="A20" s="532"/>
      <c r="B20" s="122" t="s">
        <v>115</v>
      </c>
      <c r="C20" s="130">
        <v>39200</v>
      </c>
      <c r="D20" s="101">
        <v>39200</v>
      </c>
      <c r="E20" s="101">
        <v>39900</v>
      </c>
      <c r="F20" s="101">
        <v>39900</v>
      </c>
      <c r="G20" s="105">
        <v>42100</v>
      </c>
      <c r="H20" s="335">
        <v>0</v>
      </c>
      <c r="I20" s="133">
        <f t="shared" si="0"/>
        <v>0</v>
      </c>
      <c r="J20" s="133">
        <f t="shared" si="1"/>
        <v>0</v>
      </c>
      <c r="K20" s="133">
        <f t="shared" si="2"/>
        <v>0</v>
      </c>
      <c r="L20" s="134">
        <f t="shared" si="3"/>
        <v>0</v>
      </c>
      <c r="M20" s="130">
        <f t="shared" si="4"/>
        <v>39200</v>
      </c>
      <c r="N20" s="101">
        <f t="shared" si="5"/>
        <v>39200</v>
      </c>
      <c r="O20" s="136">
        <f t="shared" si="6"/>
        <v>39900</v>
      </c>
      <c r="P20" s="136">
        <f t="shared" si="7"/>
        <v>39900</v>
      </c>
      <c r="Q20" s="105">
        <f t="shared" si="8"/>
        <v>42100</v>
      </c>
      <c r="R20" s="82"/>
      <c r="U20" s="48"/>
    </row>
    <row r="21" spans="1:21" ht="12.75" customHeight="1">
      <c r="A21" s="532"/>
      <c r="B21" s="122" t="s">
        <v>116</v>
      </c>
      <c r="C21" s="130">
        <v>61900</v>
      </c>
      <c r="D21" s="101">
        <v>61900</v>
      </c>
      <c r="E21" s="101">
        <v>61900</v>
      </c>
      <c r="F21" s="101">
        <v>61900</v>
      </c>
      <c r="G21" s="105">
        <v>66400</v>
      </c>
      <c r="H21" s="335">
        <v>0</v>
      </c>
      <c r="I21" s="133">
        <f t="shared" si="0"/>
        <v>0</v>
      </c>
      <c r="J21" s="133">
        <f t="shared" si="1"/>
        <v>0</v>
      </c>
      <c r="K21" s="133">
        <f t="shared" si="2"/>
        <v>0</v>
      </c>
      <c r="L21" s="134">
        <f t="shared" si="3"/>
        <v>0</v>
      </c>
      <c r="M21" s="130">
        <f t="shared" si="4"/>
        <v>61900</v>
      </c>
      <c r="N21" s="101">
        <f t="shared" si="5"/>
        <v>61900</v>
      </c>
      <c r="O21" s="136">
        <f t="shared" si="6"/>
        <v>61900</v>
      </c>
      <c r="P21" s="136">
        <f t="shared" si="7"/>
        <v>61900</v>
      </c>
      <c r="Q21" s="105">
        <f t="shared" si="8"/>
        <v>66400</v>
      </c>
      <c r="R21" s="82"/>
      <c r="S21" s="83"/>
      <c r="U21" s="48"/>
    </row>
    <row r="22" spans="1:21" ht="12.75" customHeight="1">
      <c r="A22" s="532"/>
      <c r="B22" s="121" t="s">
        <v>93</v>
      </c>
      <c r="C22" s="124">
        <v>0</v>
      </c>
      <c r="D22" s="119">
        <v>0</v>
      </c>
      <c r="E22" s="119">
        <v>0</v>
      </c>
      <c r="F22" s="119">
        <v>0</v>
      </c>
      <c r="G22" s="125">
        <v>0</v>
      </c>
      <c r="H22" s="128">
        <v>0</v>
      </c>
      <c r="I22" s="133">
        <f t="shared" si="0"/>
        <v>0</v>
      </c>
      <c r="J22" s="133">
        <f t="shared" si="1"/>
        <v>0</v>
      </c>
      <c r="K22" s="133">
        <f t="shared" si="2"/>
        <v>0</v>
      </c>
      <c r="L22" s="134">
        <f t="shared" si="3"/>
        <v>0</v>
      </c>
      <c r="M22" s="130">
        <f t="shared" si="4"/>
        <v>0</v>
      </c>
      <c r="N22" s="101">
        <f t="shared" si="5"/>
        <v>0</v>
      </c>
      <c r="O22" s="136">
        <f t="shared" si="6"/>
        <v>0</v>
      </c>
      <c r="P22" s="136">
        <f t="shared" si="7"/>
        <v>0</v>
      </c>
      <c r="Q22" s="105">
        <f t="shared" si="8"/>
        <v>0</v>
      </c>
      <c r="R22" s="82"/>
      <c r="S22" s="83"/>
      <c r="U22" s="48"/>
    </row>
    <row r="23" spans="1:21" ht="12.75" customHeight="1">
      <c r="A23" s="532"/>
      <c r="B23" s="121" t="s">
        <v>94</v>
      </c>
      <c r="C23" s="124">
        <v>0</v>
      </c>
      <c r="D23" s="119">
        <v>0</v>
      </c>
      <c r="E23" s="119">
        <v>0</v>
      </c>
      <c r="F23" s="119">
        <v>0</v>
      </c>
      <c r="G23" s="125">
        <v>0</v>
      </c>
      <c r="H23" s="128">
        <v>0</v>
      </c>
      <c r="I23" s="133">
        <f t="shared" si="0"/>
        <v>0</v>
      </c>
      <c r="J23" s="133">
        <f t="shared" si="1"/>
        <v>0</v>
      </c>
      <c r="K23" s="133">
        <f t="shared" si="2"/>
        <v>0</v>
      </c>
      <c r="L23" s="134">
        <f t="shared" si="3"/>
        <v>0</v>
      </c>
      <c r="M23" s="130">
        <f t="shared" si="4"/>
        <v>0</v>
      </c>
      <c r="N23" s="101">
        <f t="shared" si="5"/>
        <v>0</v>
      </c>
      <c r="O23" s="136">
        <f t="shared" si="6"/>
        <v>0</v>
      </c>
      <c r="P23" s="136">
        <f t="shared" si="7"/>
        <v>0</v>
      </c>
      <c r="Q23" s="105">
        <f t="shared" si="8"/>
        <v>0</v>
      </c>
      <c r="R23" s="82"/>
      <c r="S23" s="83"/>
      <c r="U23" s="48"/>
    </row>
    <row r="24" spans="1:21" ht="12.75" customHeight="1">
      <c r="A24" s="532"/>
      <c r="B24" s="121" t="s">
        <v>95</v>
      </c>
      <c r="C24" s="124">
        <v>0</v>
      </c>
      <c r="D24" s="119">
        <v>0</v>
      </c>
      <c r="E24" s="119">
        <v>0</v>
      </c>
      <c r="F24" s="119">
        <v>0</v>
      </c>
      <c r="G24" s="125">
        <v>0</v>
      </c>
      <c r="H24" s="128">
        <v>0</v>
      </c>
      <c r="I24" s="133">
        <f t="shared" si="0"/>
        <v>0</v>
      </c>
      <c r="J24" s="133">
        <f t="shared" si="1"/>
        <v>0</v>
      </c>
      <c r="K24" s="133">
        <f t="shared" si="2"/>
        <v>0</v>
      </c>
      <c r="L24" s="134">
        <f t="shared" si="3"/>
        <v>0</v>
      </c>
      <c r="M24" s="130">
        <f t="shared" si="4"/>
        <v>0</v>
      </c>
      <c r="N24" s="101">
        <f t="shared" si="5"/>
        <v>0</v>
      </c>
      <c r="O24" s="136">
        <f t="shared" si="6"/>
        <v>0</v>
      </c>
      <c r="P24" s="136">
        <f t="shared" si="7"/>
        <v>0</v>
      </c>
      <c r="Q24" s="105">
        <f t="shared" si="8"/>
        <v>0</v>
      </c>
      <c r="R24" s="82"/>
      <c r="S24" s="83"/>
      <c r="U24" s="48"/>
    </row>
    <row r="25" spans="1:21" ht="12.75" customHeight="1" thickBot="1">
      <c r="A25" s="533"/>
      <c r="B25" s="123" t="s">
        <v>96</v>
      </c>
      <c r="C25" s="126">
        <v>0</v>
      </c>
      <c r="D25" s="120">
        <v>0</v>
      </c>
      <c r="E25" s="120">
        <v>0</v>
      </c>
      <c r="F25" s="120">
        <v>0</v>
      </c>
      <c r="G25" s="127">
        <v>0</v>
      </c>
      <c r="H25" s="129">
        <v>0</v>
      </c>
      <c r="I25" s="338">
        <f t="shared" si="0"/>
        <v>0</v>
      </c>
      <c r="J25" s="338">
        <f t="shared" si="1"/>
        <v>0</v>
      </c>
      <c r="K25" s="338">
        <f t="shared" si="2"/>
        <v>0</v>
      </c>
      <c r="L25" s="339">
        <f t="shared" si="3"/>
        <v>0</v>
      </c>
      <c r="M25" s="131">
        <f t="shared" si="4"/>
        <v>0</v>
      </c>
      <c r="N25" s="107">
        <f t="shared" si="5"/>
        <v>0</v>
      </c>
      <c r="O25" s="153">
        <f>CEILING(E25*(1+J25),100)</f>
        <v>0</v>
      </c>
      <c r="P25" s="153">
        <f t="shared" si="7"/>
        <v>0</v>
      </c>
      <c r="Q25" s="108">
        <f t="shared" si="8"/>
        <v>0</v>
      </c>
      <c r="R25" s="82"/>
      <c r="S25" s="84"/>
      <c r="U25" s="48"/>
    </row>
    <row r="33" spans="1:8" ht="15.75">
      <c r="A33" s="528" t="s">
        <v>64</v>
      </c>
      <c r="B33" s="528"/>
      <c r="C33" s="528"/>
      <c r="D33" s="528"/>
      <c r="E33" s="72"/>
      <c r="F33" s="12"/>
      <c r="G33" s="12"/>
      <c r="H33" s="12"/>
    </row>
    <row r="34" ht="13.5" thickBot="1"/>
    <row r="35" spans="1:8" ht="15.75">
      <c r="A35" s="526" t="s">
        <v>79</v>
      </c>
      <c r="B35" s="529" t="s">
        <v>4</v>
      </c>
      <c r="C35" s="523" t="s">
        <v>121</v>
      </c>
      <c r="D35" s="524"/>
      <c r="E35" s="524"/>
      <c r="F35" s="524"/>
      <c r="G35" s="524"/>
      <c r="H35" s="525"/>
    </row>
    <row r="36" spans="1:8" ht="59.25" customHeight="1" thickBot="1">
      <c r="A36" s="527"/>
      <c r="B36" s="530"/>
      <c r="C36" s="155" t="s">
        <v>158</v>
      </c>
      <c r="D36" s="158" t="s">
        <v>161</v>
      </c>
      <c r="E36" s="156" t="s">
        <v>162</v>
      </c>
      <c r="F36" s="156" t="s">
        <v>163</v>
      </c>
      <c r="G36" s="156" t="s">
        <v>160</v>
      </c>
      <c r="H36" s="145" t="s">
        <v>91</v>
      </c>
    </row>
    <row r="37" spans="1:8" ht="12.75">
      <c r="A37" s="534" t="str">
        <f>+A16</f>
        <v>DALEGRÍA</v>
      </c>
      <c r="B37" s="146" t="str">
        <f>+B16</f>
        <v>Jornada Completa</v>
      </c>
      <c r="C37" s="149">
        <v>2</v>
      </c>
      <c r="D37" s="142">
        <v>2</v>
      </c>
      <c r="E37" s="142">
        <v>0</v>
      </c>
      <c r="F37" s="142">
        <v>0</v>
      </c>
      <c r="G37" s="142">
        <v>0</v>
      </c>
      <c r="H37" s="143">
        <f aca="true" t="shared" si="9" ref="H37:H46">SUM(C37:G37)</f>
        <v>4</v>
      </c>
    </row>
    <row r="38" spans="1:8" ht="12.75">
      <c r="A38" s="535"/>
      <c r="B38" s="147" t="str">
        <f aca="true" t="shared" si="10" ref="B38:B46">+B17</f>
        <v>Media Extendida (modalidad escolar)</v>
      </c>
      <c r="C38" s="150">
        <v>2</v>
      </c>
      <c r="D38" s="89">
        <v>4</v>
      </c>
      <c r="E38" s="89">
        <v>0</v>
      </c>
      <c r="F38" s="89">
        <v>0</v>
      </c>
      <c r="G38" s="89">
        <v>5</v>
      </c>
      <c r="H38" s="102">
        <f t="shared" si="9"/>
        <v>11</v>
      </c>
    </row>
    <row r="39" spans="1:8" ht="12.75">
      <c r="A39" s="535"/>
      <c r="B39" s="147" t="str">
        <f t="shared" si="10"/>
        <v>Jornada Completa (modalidad escolar)</v>
      </c>
      <c r="C39" s="150">
        <v>1</v>
      </c>
      <c r="D39" s="89">
        <v>3</v>
      </c>
      <c r="E39" s="89">
        <v>0</v>
      </c>
      <c r="F39" s="89">
        <v>0</v>
      </c>
      <c r="G39" s="89">
        <v>1</v>
      </c>
      <c r="H39" s="102">
        <f t="shared" si="9"/>
        <v>5</v>
      </c>
    </row>
    <row r="40" spans="1:8" ht="12.75">
      <c r="A40" s="535"/>
      <c r="B40" s="147" t="str">
        <f t="shared" si="10"/>
        <v>Programa Especial (ambulatorio)</v>
      </c>
      <c r="C40" s="150">
        <v>22</v>
      </c>
      <c r="D40" s="89">
        <v>3</v>
      </c>
      <c r="E40" s="89">
        <v>0</v>
      </c>
      <c r="F40" s="89">
        <v>0</v>
      </c>
      <c r="G40" s="89">
        <v>1</v>
      </c>
      <c r="H40" s="102">
        <f t="shared" si="9"/>
        <v>26</v>
      </c>
    </row>
    <row r="41" spans="1:8" ht="12.75">
      <c r="A41" s="535"/>
      <c r="B41" s="147" t="str">
        <f t="shared" si="10"/>
        <v>Informes de Evaluación Multidisciplinario</v>
      </c>
      <c r="C41" s="150">
        <v>0</v>
      </c>
      <c r="D41" s="89">
        <v>0</v>
      </c>
      <c r="E41" s="89">
        <v>0</v>
      </c>
      <c r="F41" s="89">
        <v>0</v>
      </c>
      <c r="G41" s="89">
        <v>0</v>
      </c>
      <c r="H41" s="102">
        <f t="shared" si="9"/>
        <v>0</v>
      </c>
    </row>
    <row r="42" spans="1:8" ht="12.75">
      <c r="A42" s="535"/>
      <c r="B42" s="147" t="str">
        <f t="shared" si="10"/>
        <v>Informes de Evaluación Multi - TEA</v>
      </c>
      <c r="C42" s="150">
        <v>0</v>
      </c>
      <c r="D42" s="89">
        <v>0</v>
      </c>
      <c r="E42" s="89">
        <v>0</v>
      </c>
      <c r="F42" s="89">
        <v>0</v>
      </c>
      <c r="G42" s="89">
        <v>0</v>
      </c>
      <c r="H42" s="102">
        <f t="shared" si="9"/>
        <v>0</v>
      </c>
    </row>
    <row r="43" spans="1:8" ht="12.75">
      <c r="A43" s="535"/>
      <c r="B43" s="147" t="str">
        <f t="shared" si="10"/>
        <v>(Nombre de prestación 7)</v>
      </c>
      <c r="C43" s="150">
        <v>0</v>
      </c>
      <c r="D43" s="89">
        <v>0</v>
      </c>
      <c r="E43" s="89">
        <v>0</v>
      </c>
      <c r="F43" s="89">
        <v>0</v>
      </c>
      <c r="G43" s="89">
        <v>0</v>
      </c>
      <c r="H43" s="102">
        <f t="shared" si="9"/>
        <v>0</v>
      </c>
    </row>
    <row r="44" spans="1:8" ht="12.75">
      <c r="A44" s="535"/>
      <c r="B44" s="147" t="str">
        <f t="shared" si="10"/>
        <v>(Nombre de prestación 8)</v>
      </c>
      <c r="C44" s="150">
        <v>0</v>
      </c>
      <c r="D44" s="89">
        <v>0</v>
      </c>
      <c r="E44" s="89">
        <v>0</v>
      </c>
      <c r="F44" s="89">
        <v>0</v>
      </c>
      <c r="G44" s="89">
        <v>0</v>
      </c>
      <c r="H44" s="102">
        <f t="shared" si="9"/>
        <v>0</v>
      </c>
    </row>
    <row r="45" spans="1:8" ht="12.75">
      <c r="A45" s="535"/>
      <c r="B45" s="147" t="str">
        <f t="shared" si="10"/>
        <v>(Nombre de prestación 9)</v>
      </c>
      <c r="C45" s="150">
        <v>0</v>
      </c>
      <c r="D45" s="89">
        <v>0</v>
      </c>
      <c r="E45" s="89">
        <v>0</v>
      </c>
      <c r="F45" s="89">
        <v>0</v>
      </c>
      <c r="G45" s="89">
        <v>0</v>
      </c>
      <c r="H45" s="102">
        <f t="shared" si="9"/>
        <v>0</v>
      </c>
    </row>
    <row r="46" spans="1:8" ht="13.5" thickBot="1">
      <c r="A46" s="536"/>
      <c r="B46" s="148" t="str">
        <f t="shared" si="10"/>
        <v>(Nombre de prestación 10)</v>
      </c>
      <c r="C46" s="151">
        <v>0</v>
      </c>
      <c r="D46" s="103">
        <v>0</v>
      </c>
      <c r="E46" s="103">
        <v>0</v>
      </c>
      <c r="F46" s="103">
        <v>0</v>
      </c>
      <c r="G46" s="103">
        <v>0</v>
      </c>
      <c r="H46" s="104">
        <f t="shared" si="9"/>
        <v>0</v>
      </c>
    </row>
  </sheetData>
  <sheetProtection password="9C6E" sheet="1"/>
  <mergeCells count="11">
    <mergeCell ref="A37:A46"/>
    <mergeCell ref="C35:H35"/>
    <mergeCell ref="B35:B36"/>
    <mergeCell ref="A35:A36"/>
    <mergeCell ref="H14:L14"/>
    <mergeCell ref="M14:Q14"/>
    <mergeCell ref="C14:G14"/>
    <mergeCell ref="A14:A15"/>
    <mergeCell ref="A33:D33"/>
    <mergeCell ref="B14:B15"/>
    <mergeCell ref="A16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25"/>
  <sheetViews>
    <sheetView showGridLines="0" zoomScale="90" zoomScaleNormal="90" zoomScalePageLayoutView="0" workbookViewId="0" topLeftCell="A3">
      <selection activeCell="O23" sqref="O23"/>
    </sheetView>
  </sheetViews>
  <sheetFormatPr defaultColWidth="10.7109375" defaultRowHeight="12.75"/>
  <cols>
    <col min="1" max="1" width="17.140625" style="3" customWidth="1"/>
    <col min="2" max="2" width="36.57421875" style="9" customWidth="1"/>
    <col min="3" max="3" width="17.8515625" style="9" customWidth="1"/>
    <col min="4" max="4" width="14.8515625" style="9" customWidth="1"/>
    <col min="5" max="5" width="13.140625" style="9" customWidth="1"/>
    <col min="6" max="7" width="14.7109375" style="9" customWidth="1"/>
    <col min="8" max="8" width="17.7109375" style="9" customWidth="1"/>
    <col min="9" max="10" width="13.28125" style="9" customWidth="1"/>
    <col min="11" max="12" width="14.7109375" style="9" customWidth="1"/>
    <col min="13" max="13" width="33.57421875" style="3" bestFit="1" customWidth="1"/>
    <col min="14" max="14" width="14.7109375" style="9" customWidth="1"/>
    <col min="15" max="15" width="33.57421875" style="3" bestFit="1" customWidth="1"/>
    <col min="16" max="16" width="14.7109375" style="9" customWidth="1"/>
    <col min="17" max="17" width="14.28125" style="3" customWidth="1"/>
    <col min="18" max="16384" width="10.7109375" style="3" customWidth="1"/>
  </cols>
  <sheetData>
    <row r="1" spans="2:16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P1" s="47"/>
    </row>
    <row r="2" spans="2:16" ht="12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P2" s="47"/>
    </row>
    <row r="3" spans="3:16" ht="13.5" thickBot="1">
      <c r="C3" s="12"/>
      <c r="D3" s="12"/>
      <c r="E3" s="12"/>
      <c r="F3" s="12"/>
      <c r="G3" s="12"/>
      <c r="H3" s="12"/>
      <c r="I3" s="12"/>
      <c r="J3" s="12"/>
      <c r="K3" s="12"/>
      <c r="L3" s="12"/>
      <c r="N3" s="12"/>
      <c r="P3" s="12"/>
    </row>
    <row r="4" spans="3:16" ht="18.75" customHeight="1" thickBot="1">
      <c r="C4" s="47" t="s">
        <v>0</v>
      </c>
      <c r="D4" s="196" t="str">
        <f>+'A) Reajuste Tarifas y Ocupación'!D9</f>
        <v>BIENVALP</v>
      </c>
      <c r="E4" s="70"/>
      <c r="F4" s="70"/>
      <c r="G4" s="70"/>
      <c r="H4" s="70"/>
      <c r="I4" s="70"/>
      <c r="J4" s="70"/>
      <c r="K4" s="70"/>
      <c r="L4" s="70"/>
      <c r="N4" s="70"/>
      <c r="P4" s="70"/>
    </row>
    <row r="5" spans="1:16" ht="12.75">
      <c r="A5" s="8"/>
      <c r="B5" s="17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P5" s="70"/>
    </row>
    <row r="6" spans="1:16" ht="12.75">
      <c r="A6" s="8"/>
      <c r="B6" s="17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P6" s="70"/>
    </row>
    <row r="7" spans="1:16" ht="12.75" customHeight="1">
      <c r="A7" s="537" t="s">
        <v>103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9"/>
      <c r="P7" s="65"/>
    </row>
    <row r="8" spans="1:16" ht="12.75">
      <c r="A8" s="540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2"/>
      <c r="P8" s="65"/>
    </row>
    <row r="9" spans="1:16" ht="12.75">
      <c r="A9" s="543"/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5"/>
      <c r="P9" s="65"/>
    </row>
    <row r="10" spans="1:16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12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ht="15.75">
      <c r="A12" s="112" t="s">
        <v>83</v>
      </c>
      <c r="B12" s="112"/>
      <c r="C12" s="112"/>
      <c r="D12" s="61"/>
      <c r="E12" s="61"/>
      <c r="F12" s="61"/>
      <c r="G12" s="61"/>
      <c r="H12" s="76"/>
      <c r="I12" s="61"/>
      <c r="J12" s="61"/>
      <c r="K12" s="61"/>
      <c r="L12" s="61"/>
      <c r="M12" s="61"/>
      <c r="N12" s="61"/>
      <c r="O12" s="61"/>
      <c r="P12" s="61"/>
    </row>
    <row r="13" spans="1:16" ht="13.5" thickBot="1">
      <c r="A13" s="8"/>
      <c r="B13" s="17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P13" s="70"/>
    </row>
    <row r="14" spans="1:17" ht="20.25" customHeight="1">
      <c r="A14" s="526" t="s">
        <v>79</v>
      </c>
      <c r="B14" s="556" t="s">
        <v>4</v>
      </c>
      <c r="C14" s="523" t="s">
        <v>122</v>
      </c>
      <c r="D14" s="524"/>
      <c r="E14" s="524"/>
      <c r="F14" s="524"/>
      <c r="G14" s="525"/>
      <c r="H14" s="546" t="s">
        <v>102</v>
      </c>
      <c r="I14" s="547"/>
      <c r="J14" s="547"/>
      <c r="K14" s="547"/>
      <c r="L14" s="548"/>
      <c r="M14" s="554" t="s">
        <v>76</v>
      </c>
      <c r="N14" s="558"/>
      <c r="O14" s="554" t="s">
        <v>77</v>
      </c>
      <c r="P14" s="555"/>
      <c r="Q14" s="552" t="s">
        <v>90</v>
      </c>
    </row>
    <row r="15" spans="1:17" ht="60.75" customHeight="1" thickBot="1">
      <c r="A15" s="527"/>
      <c r="B15" s="557"/>
      <c r="C15" s="155" t="s">
        <v>158</v>
      </c>
      <c r="D15" s="158" t="s">
        <v>161</v>
      </c>
      <c r="E15" s="156" t="s">
        <v>162</v>
      </c>
      <c r="F15" s="156" t="s">
        <v>163</v>
      </c>
      <c r="G15" s="157" t="s">
        <v>160</v>
      </c>
      <c r="H15" s="192" t="s">
        <v>158</v>
      </c>
      <c r="I15" s="193" t="s">
        <v>161</v>
      </c>
      <c r="J15" s="194" t="s">
        <v>162</v>
      </c>
      <c r="K15" s="194" t="s">
        <v>163</v>
      </c>
      <c r="L15" s="195" t="s">
        <v>160</v>
      </c>
      <c r="M15" s="181" t="s">
        <v>41</v>
      </c>
      <c r="N15" s="138" t="s">
        <v>59</v>
      </c>
      <c r="O15" s="181" t="s">
        <v>41</v>
      </c>
      <c r="P15" s="145" t="s">
        <v>59</v>
      </c>
      <c r="Q15" s="553"/>
    </row>
    <row r="16" spans="1:19" ht="12.75" customHeight="1">
      <c r="A16" s="549" t="str">
        <f>'A) Reajuste Tarifas y Ocupación'!A16</f>
        <v>DALEGRÍA</v>
      </c>
      <c r="B16" s="166" t="str">
        <f>+'A) Reajuste Tarifas y Ocupación'!B16</f>
        <v>Jornada Completa</v>
      </c>
      <c r="C16" s="172">
        <f>+'A) Reajuste Tarifas y Ocupación'!M16</f>
        <v>83600</v>
      </c>
      <c r="D16" s="163">
        <f>+'A) Reajuste Tarifas y Ocupación'!N16</f>
        <v>119800</v>
      </c>
      <c r="E16" s="163">
        <f>+'A) Reajuste Tarifas y Ocupación'!O16</f>
        <v>119100</v>
      </c>
      <c r="F16" s="163">
        <f>+'A) Reajuste Tarifas y Ocupación'!P16</f>
        <v>119100</v>
      </c>
      <c r="G16" s="173">
        <f>+'A) Reajuste Tarifas y Ocupación'!Q16</f>
        <v>158900</v>
      </c>
      <c r="H16" s="169">
        <f>_xlfn.IFERROR(C16/$Q16,0)</f>
        <v>0.4478491455509723</v>
      </c>
      <c r="I16" s="164">
        <f aca="true" t="shared" si="0" ref="I16:L25">_xlfn.IFERROR(D16/$Q16,0)</f>
        <v>0.641774254031178</v>
      </c>
      <c r="J16" s="164">
        <f t="shared" si="0"/>
        <v>0.638024320994268</v>
      </c>
      <c r="K16" s="164">
        <f t="shared" si="0"/>
        <v>0.638024320994268</v>
      </c>
      <c r="L16" s="178">
        <f t="shared" si="0"/>
        <v>0.8512347993785825</v>
      </c>
      <c r="M16" s="348" t="s">
        <v>220</v>
      </c>
      <c r="N16" s="187">
        <v>142340</v>
      </c>
      <c r="O16" s="351" t="s">
        <v>225</v>
      </c>
      <c r="P16" s="182">
        <v>231000</v>
      </c>
      <c r="Q16" s="190">
        <f>AVERAGE(N16,P16)</f>
        <v>186670</v>
      </c>
      <c r="R16" s="18"/>
      <c r="S16" s="19"/>
    </row>
    <row r="17" spans="1:19" ht="12.75" customHeight="1">
      <c r="A17" s="550"/>
      <c r="B17" s="167" t="str">
        <f>+'A) Reajuste Tarifas y Ocupación'!B17</f>
        <v>Media Extendida (modalidad escolar)</v>
      </c>
      <c r="C17" s="174">
        <f>+'A) Reajuste Tarifas y Ocupación'!M17</f>
        <v>66300</v>
      </c>
      <c r="D17" s="159">
        <f>+'A) Reajuste Tarifas y Ocupación'!N17</f>
        <v>88600</v>
      </c>
      <c r="E17" s="159">
        <f>+'A) Reajuste Tarifas y Ocupación'!O17</f>
        <v>88900</v>
      </c>
      <c r="F17" s="159">
        <f>+'A) Reajuste Tarifas y Ocupación'!P17</f>
        <v>88900</v>
      </c>
      <c r="G17" s="175">
        <f>+'A) Reajuste Tarifas y Ocupación'!Q17</f>
        <v>121900</v>
      </c>
      <c r="H17" s="170">
        <f aca="true" t="shared" si="1" ref="H17:H25">_xlfn.IFERROR(C17/$Q17,0)</f>
        <v>0.4477914359043631</v>
      </c>
      <c r="I17" s="160">
        <f t="shared" si="0"/>
        <v>0.5984060516007024</v>
      </c>
      <c r="J17" s="160">
        <f t="shared" si="0"/>
        <v>0.6004322571930298</v>
      </c>
      <c r="K17" s="160">
        <f t="shared" si="0"/>
        <v>0.6004322571930298</v>
      </c>
      <c r="L17" s="179">
        <f t="shared" si="0"/>
        <v>0.8233148723490477</v>
      </c>
      <c r="M17" s="349" t="s">
        <v>220</v>
      </c>
      <c r="N17" s="188">
        <v>87120</v>
      </c>
      <c r="O17" s="352" t="s">
        <v>225</v>
      </c>
      <c r="P17" s="183">
        <v>209000</v>
      </c>
      <c r="Q17" s="190">
        <f aca="true" t="shared" si="2" ref="Q17:Q25">AVERAGE(N17,P17)</f>
        <v>148060</v>
      </c>
      <c r="R17" s="18"/>
      <c r="S17" s="19"/>
    </row>
    <row r="18" spans="1:19" ht="12.75" customHeight="1">
      <c r="A18" s="550"/>
      <c r="B18" s="167" t="str">
        <f>+'A) Reajuste Tarifas y Ocupación'!B18</f>
        <v>Jornada Completa (modalidad escolar)</v>
      </c>
      <c r="C18" s="174">
        <f>+'A) Reajuste Tarifas y Ocupación'!M18</f>
        <v>92900</v>
      </c>
      <c r="D18" s="159">
        <f>+'A) Reajuste Tarifas y Ocupación'!N18</f>
        <v>130200</v>
      </c>
      <c r="E18" s="159">
        <f>+'A) Reajuste Tarifas y Ocupación'!O18</f>
        <v>130400</v>
      </c>
      <c r="F18" s="159">
        <f>+'A) Reajuste Tarifas y Ocupación'!P18</f>
        <v>130400</v>
      </c>
      <c r="G18" s="175">
        <f>+'A) Reajuste Tarifas y Ocupación'!Q18</f>
        <v>161800</v>
      </c>
      <c r="H18" s="170">
        <f t="shared" si="1"/>
        <v>0.7677685950413223</v>
      </c>
      <c r="I18" s="160">
        <f t="shared" si="0"/>
        <v>1.0760330578512396</v>
      </c>
      <c r="J18" s="160">
        <f t="shared" si="0"/>
        <v>1.0776859504132232</v>
      </c>
      <c r="K18" s="160">
        <f t="shared" si="0"/>
        <v>1.0776859504132232</v>
      </c>
      <c r="L18" s="179">
        <f t="shared" si="0"/>
        <v>1.3371900826446281</v>
      </c>
      <c r="M18" s="349" t="s">
        <v>221</v>
      </c>
      <c r="N18" s="188">
        <v>159500</v>
      </c>
      <c r="O18" s="352" t="s">
        <v>226</v>
      </c>
      <c r="P18" s="183">
        <v>82500</v>
      </c>
      <c r="Q18" s="190">
        <f t="shared" si="2"/>
        <v>121000</v>
      </c>
      <c r="R18" s="18"/>
      <c r="S18" s="19"/>
    </row>
    <row r="19" spans="1:19" ht="12.75" customHeight="1">
      <c r="A19" s="550"/>
      <c r="B19" s="167" t="str">
        <f>+'A) Reajuste Tarifas y Ocupación'!B19</f>
        <v>Programa Especial (ambulatorio)</v>
      </c>
      <c r="C19" s="174">
        <f>+'A) Reajuste Tarifas y Ocupación'!M19</f>
        <v>58400</v>
      </c>
      <c r="D19" s="159">
        <f>+'A) Reajuste Tarifas y Ocupación'!N19</f>
        <v>88600</v>
      </c>
      <c r="E19" s="159">
        <f>+'A) Reajuste Tarifas y Ocupación'!O19</f>
        <v>88900</v>
      </c>
      <c r="F19" s="159">
        <f>+'A) Reajuste Tarifas y Ocupación'!P19</f>
        <v>88900</v>
      </c>
      <c r="G19" s="175">
        <f>+'A) Reajuste Tarifas y Ocupación'!Q19</f>
        <v>115200</v>
      </c>
      <c r="H19" s="170">
        <f t="shared" si="1"/>
        <v>0.21795355051558704</v>
      </c>
      <c r="I19" s="160">
        <f t="shared" si="0"/>
        <v>0.3306624071178255</v>
      </c>
      <c r="J19" s="160">
        <f t="shared" si="0"/>
        <v>0.33178203152115904</v>
      </c>
      <c r="K19" s="160">
        <f t="shared" si="0"/>
        <v>0.33178203152115904</v>
      </c>
      <c r="L19" s="179">
        <f t="shared" si="0"/>
        <v>0.42993577088006213</v>
      </c>
      <c r="M19" s="349" t="s">
        <v>222</v>
      </c>
      <c r="N19" s="188">
        <v>321816</v>
      </c>
      <c r="O19" s="352" t="s">
        <v>227</v>
      </c>
      <c r="P19" s="183">
        <v>214078</v>
      </c>
      <c r="Q19" s="190">
        <f t="shared" si="2"/>
        <v>267947</v>
      </c>
      <c r="R19" s="18"/>
      <c r="S19" s="19"/>
    </row>
    <row r="20" spans="1:19" ht="12.75" customHeight="1">
      <c r="A20" s="550"/>
      <c r="B20" s="167" t="str">
        <f>+'A) Reajuste Tarifas y Ocupación'!B20</f>
        <v>Informes de Evaluación Multidisciplinario</v>
      </c>
      <c r="C20" s="174">
        <f>+'A) Reajuste Tarifas y Ocupación'!M20</f>
        <v>39200</v>
      </c>
      <c r="D20" s="159">
        <f>+'A) Reajuste Tarifas y Ocupación'!N20</f>
        <v>39200</v>
      </c>
      <c r="E20" s="159">
        <f>+'A) Reajuste Tarifas y Ocupación'!O20</f>
        <v>39900</v>
      </c>
      <c r="F20" s="159">
        <f>+'A) Reajuste Tarifas y Ocupación'!P20</f>
        <v>39900</v>
      </c>
      <c r="G20" s="175">
        <f>+'A) Reajuste Tarifas y Ocupación'!Q20</f>
        <v>42100</v>
      </c>
      <c r="H20" s="170">
        <f t="shared" si="1"/>
        <v>0.24013722126929674</v>
      </c>
      <c r="I20" s="160">
        <f t="shared" si="0"/>
        <v>0.24013722126929674</v>
      </c>
      <c r="J20" s="160">
        <f t="shared" si="0"/>
        <v>0.2444253859348199</v>
      </c>
      <c r="K20" s="160">
        <f t="shared" si="0"/>
        <v>0.2444253859348199</v>
      </c>
      <c r="L20" s="179">
        <f t="shared" si="0"/>
        <v>0.25790247488360696</v>
      </c>
      <c r="M20" s="350" t="s">
        <v>223</v>
      </c>
      <c r="N20" s="188">
        <v>128260</v>
      </c>
      <c r="O20" s="353" t="s">
        <v>228</v>
      </c>
      <c r="P20" s="183">
        <v>198220</v>
      </c>
      <c r="Q20" s="190">
        <f t="shared" si="2"/>
        <v>163240</v>
      </c>
      <c r="R20" s="18"/>
      <c r="S20" s="19"/>
    </row>
    <row r="21" spans="1:17" ht="12.75" customHeight="1">
      <c r="A21" s="550"/>
      <c r="B21" s="167" t="str">
        <f>+'A) Reajuste Tarifas y Ocupación'!B21</f>
        <v>Informes de Evaluación Multi - TEA</v>
      </c>
      <c r="C21" s="174">
        <f>+'A) Reajuste Tarifas y Ocupación'!M21</f>
        <v>61900</v>
      </c>
      <c r="D21" s="159">
        <f>+'A) Reajuste Tarifas y Ocupación'!N21</f>
        <v>61900</v>
      </c>
      <c r="E21" s="159">
        <f>+'A) Reajuste Tarifas y Ocupación'!O21</f>
        <v>61900</v>
      </c>
      <c r="F21" s="159">
        <f>+'A) Reajuste Tarifas y Ocupación'!P21</f>
        <v>61900</v>
      </c>
      <c r="G21" s="175">
        <f>+'A) Reajuste Tarifas y Ocupación'!Q21</f>
        <v>66400</v>
      </c>
      <c r="H21" s="170">
        <f t="shared" si="1"/>
        <v>0.32174229429804047</v>
      </c>
      <c r="I21" s="160">
        <f t="shared" si="0"/>
        <v>0.32174229429804047</v>
      </c>
      <c r="J21" s="160">
        <f t="shared" si="0"/>
        <v>0.32174229429804047</v>
      </c>
      <c r="K21" s="160">
        <f t="shared" si="0"/>
        <v>0.32174229429804047</v>
      </c>
      <c r="L21" s="179">
        <f t="shared" si="0"/>
        <v>0.3451322833827122</v>
      </c>
      <c r="M21" s="349" t="s">
        <v>224</v>
      </c>
      <c r="N21" s="188">
        <v>151580</v>
      </c>
      <c r="O21" s="352" t="s">
        <v>229</v>
      </c>
      <c r="P21" s="183">
        <v>233200</v>
      </c>
      <c r="Q21" s="190">
        <f t="shared" si="2"/>
        <v>192390</v>
      </c>
    </row>
    <row r="22" spans="1:17" ht="12.75" customHeight="1">
      <c r="A22" s="550"/>
      <c r="B22" s="167" t="str">
        <f>+'A) Reajuste Tarifas y Ocupación'!B22</f>
        <v>(Nombre de prestación 7)</v>
      </c>
      <c r="C22" s="174">
        <f>+'A) Reajuste Tarifas y Ocupación'!M22</f>
        <v>0</v>
      </c>
      <c r="D22" s="159">
        <f>+'A) Reajuste Tarifas y Ocupación'!N22</f>
        <v>0</v>
      </c>
      <c r="E22" s="159">
        <f>+'A) Reajuste Tarifas y Ocupación'!N22</f>
        <v>0</v>
      </c>
      <c r="F22" s="159">
        <f>+'A) Reajuste Tarifas y Ocupación'!P22</f>
        <v>0</v>
      </c>
      <c r="G22" s="175">
        <f>+'A) Reajuste Tarifas y Ocupación'!Q22</f>
        <v>0</v>
      </c>
      <c r="H22" s="170">
        <f t="shared" si="1"/>
        <v>0</v>
      </c>
      <c r="I22" s="160">
        <f t="shared" si="0"/>
        <v>0</v>
      </c>
      <c r="J22" s="160">
        <f t="shared" si="0"/>
        <v>0</v>
      </c>
      <c r="K22" s="160">
        <f t="shared" si="0"/>
        <v>0</v>
      </c>
      <c r="L22" s="179">
        <f t="shared" si="0"/>
        <v>0</v>
      </c>
      <c r="M22" s="184"/>
      <c r="N22" s="188">
        <v>0</v>
      </c>
      <c r="O22" s="184"/>
      <c r="P22" s="183">
        <v>0</v>
      </c>
      <c r="Q22" s="190">
        <f t="shared" si="2"/>
        <v>0</v>
      </c>
    </row>
    <row r="23" spans="1:17" ht="12.75" customHeight="1">
      <c r="A23" s="550"/>
      <c r="B23" s="167" t="str">
        <f>+'A) Reajuste Tarifas y Ocupación'!B23</f>
        <v>(Nombre de prestación 8)</v>
      </c>
      <c r="C23" s="174">
        <f>+'A) Reajuste Tarifas y Ocupación'!M23</f>
        <v>0</v>
      </c>
      <c r="D23" s="159">
        <f>+'A) Reajuste Tarifas y Ocupación'!N23</f>
        <v>0</v>
      </c>
      <c r="E23" s="159">
        <f>+'A) Reajuste Tarifas y Ocupación'!N23</f>
        <v>0</v>
      </c>
      <c r="F23" s="159">
        <f>+'A) Reajuste Tarifas y Ocupación'!P23</f>
        <v>0</v>
      </c>
      <c r="G23" s="175">
        <f>+'A) Reajuste Tarifas y Ocupación'!Q23</f>
        <v>0</v>
      </c>
      <c r="H23" s="170">
        <f t="shared" si="1"/>
        <v>0</v>
      </c>
      <c r="I23" s="160">
        <f t="shared" si="0"/>
        <v>0</v>
      </c>
      <c r="J23" s="160">
        <f t="shared" si="0"/>
        <v>0</v>
      </c>
      <c r="K23" s="160">
        <f t="shared" si="0"/>
        <v>0</v>
      </c>
      <c r="L23" s="179">
        <f t="shared" si="0"/>
        <v>0</v>
      </c>
      <c r="M23" s="184"/>
      <c r="N23" s="188">
        <v>0</v>
      </c>
      <c r="O23" s="184"/>
      <c r="P23" s="183">
        <v>0</v>
      </c>
      <c r="Q23" s="190">
        <f t="shared" si="2"/>
        <v>0</v>
      </c>
    </row>
    <row r="24" spans="1:17" ht="12.75" customHeight="1">
      <c r="A24" s="550"/>
      <c r="B24" s="167" t="str">
        <f>+'A) Reajuste Tarifas y Ocupación'!B24</f>
        <v>(Nombre de prestación 9)</v>
      </c>
      <c r="C24" s="174">
        <f>+'A) Reajuste Tarifas y Ocupación'!M24</f>
        <v>0</v>
      </c>
      <c r="D24" s="159">
        <f>+'A) Reajuste Tarifas y Ocupación'!N24</f>
        <v>0</v>
      </c>
      <c r="E24" s="159">
        <f>+'A) Reajuste Tarifas y Ocupación'!N24</f>
        <v>0</v>
      </c>
      <c r="F24" s="159">
        <f>+'A) Reajuste Tarifas y Ocupación'!P24</f>
        <v>0</v>
      </c>
      <c r="G24" s="175">
        <f>+'A) Reajuste Tarifas y Ocupación'!Q24</f>
        <v>0</v>
      </c>
      <c r="H24" s="170">
        <f t="shared" si="1"/>
        <v>0</v>
      </c>
      <c r="I24" s="160">
        <f t="shared" si="0"/>
        <v>0</v>
      </c>
      <c r="J24" s="160">
        <f t="shared" si="0"/>
        <v>0</v>
      </c>
      <c r="K24" s="160">
        <f t="shared" si="0"/>
        <v>0</v>
      </c>
      <c r="L24" s="179">
        <f t="shared" si="0"/>
        <v>0</v>
      </c>
      <c r="M24" s="184"/>
      <c r="N24" s="188">
        <v>0</v>
      </c>
      <c r="O24" s="184"/>
      <c r="P24" s="183">
        <v>0</v>
      </c>
      <c r="Q24" s="190">
        <f t="shared" si="2"/>
        <v>0</v>
      </c>
    </row>
    <row r="25" spans="1:17" ht="12.75" customHeight="1" thickBot="1">
      <c r="A25" s="551"/>
      <c r="B25" s="168" t="str">
        <f>+'A) Reajuste Tarifas y Ocupación'!B25</f>
        <v>(Nombre de prestación 10)</v>
      </c>
      <c r="C25" s="176">
        <f>+'A) Reajuste Tarifas y Ocupación'!M25</f>
        <v>0</v>
      </c>
      <c r="D25" s="161">
        <f>+'A) Reajuste Tarifas y Ocupación'!N25</f>
        <v>0</v>
      </c>
      <c r="E25" s="161">
        <f>+'A) Reajuste Tarifas y Ocupación'!N25</f>
        <v>0</v>
      </c>
      <c r="F25" s="161">
        <f>+'A) Reajuste Tarifas y Ocupación'!P25</f>
        <v>0</v>
      </c>
      <c r="G25" s="177">
        <f>+'A) Reajuste Tarifas y Ocupación'!Q25</f>
        <v>0</v>
      </c>
      <c r="H25" s="171">
        <f t="shared" si="1"/>
        <v>0</v>
      </c>
      <c r="I25" s="162">
        <f t="shared" si="0"/>
        <v>0</v>
      </c>
      <c r="J25" s="162">
        <f t="shared" si="0"/>
        <v>0</v>
      </c>
      <c r="K25" s="162">
        <f t="shared" si="0"/>
        <v>0</v>
      </c>
      <c r="L25" s="180">
        <f t="shared" si="0"/>
        <v>0</v>
      </c>
      <c r="M25" s="185"/>
      <c r="N25" s="189">
        <v>0</v>
      </c>
      <c r="O25" s="185"/>
      <c r="P25" s="186">
        <v>0</v>
      </c>
      <c r="Q25" s="191">
        <f t="shared" si="2"/>
        <v>0</v>
      </c>
    </row>
  </sheetData>
  <sheetProtection password="9C6E" sheet="1"/>
  <mergeCells count="9">
    <mergeCell ref="A7:O9"/>
    <mergeCell ref="H14:L14"/>
    <mergeCell ref="C14:G14"/>
    <mergeCell ref="A16:A25"/>
    <mergeCell ref="Q14:Q15"/>
    <mergeCell ref="O14:P14"/>
    <mergeCell ref="A14:A15"/>
    <mergeCell ref="B14:B15"/>
    <mergeCell ref="M14:N14"/>
  </mergeCells>
  <printOptions/>
  <pageMargins left="0.7" right="0.7" top="0.75" bottom="0.75" header="0.5118055555555555" footer="0.5118055555555555"/>
  <pageSetup horizontalDpi="300" verticalDpi="3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IV34"/>
  <sheetViews>
    <sheetView showGridLines="0" zoomScale="80" zoomScaleNormal="80" zoomScalePageLayoutView="0" workbookViewId="0" topLeftCell="A3">
      <selection activeCell="I11" sqref="G11:I11"/>
    </sheetView>
  </sheetViews>
  <sheetFormatPr defaultColWidth="11.421875" defaultRowHeight="12.75"/>
  <cols>
    <col min="1" max="1" width="7.140625" style="26" customWidth="1"/>
    <col min="2" max="2" width="17.00390625" style="26" customWidth="1"/>
    <col min="3" max="3" width="28.00390625" style="26" customWidth="1"/>
    <col min="4" max="4" width="24.140625" style="26" customWidth="1"/>
    <col min="5" max="5" width="25.140625" style="26" customWidth="1"/>
    <col min="6" max="6" width="22.140625" style="26" customWidth="1"/>
    <col min="7" max="7" width="14.8515625" style="26" customWidth="1"/>
    <col min="8" max="8" width="15.00390625" style="26" customWidth="1"/>
    <col min="9" max="9" width="15.140625" style="26" customWidth="1"/>
    <col min="10" max="10" width="17.421875" style="26" customWidth="1"/>
    <col min="11" max="12" width="19.140625" style="26" customWidth="1"/>
    <col min="13" max="13" width="16.140625" style="26" customWidth="1"/>
    <col min="14" max="14" width="17.140625" style="26" customWidth="1"/>
    <col min="15" max="15" width="14.8515625" style="26" customWidth="1"/>
    <col min="16" max="16" width="17.7109375" style="26" customWidth="1"/>
    <col min="17" max="17" width="17.140625" style="26" customWidth="1"/>
    <col min="18" max="18" width="18.140625" style="39" customWidth="1"/>
    <col min="19" max="19" width="16.28125" style="26" customWidth="1"/>
    <col min="20" max="20" width="15.8515625" style="26" customWidth="1"/>
    <col min="21" max="21" width="14.8515625" style="26" customWidth="1"/>
    <col min="22" max="22" width="15.8515625" style="26" customWidth="1"/>
    <col min="23" max="23" width="14.28125" style="26" customWidth="1"/>
    <col min="24" max="24" width="14.8515625" style="26" customWidth="1"/>
    <col min="25" max="25" width="13.140625" style="26" customWidth="1"/>
    <col min="26" max="26" width="16.8515625" style="26" customWidth="1"/>
    <col min="27" max="27" width="17.57421875" style="26" customWidth="1"/>
    <col min="28" max="28" width="15.28125" style="26" customWidth="1"/>
    <col min="29" max="29" width="19.7109375" style="26" customWidth="1"/>
    <col min="30" max="30" width="17.421875" style="26" customWidth="1"/>
    <col min="31" max="31" width="12.00390625" style="26" customWidth="1"/>
    <col min="32" max="16384" width="11.421875" style="26" customWidth="1"/>
  </cols>
  <sheetData>
    <row r="1" spans="3:248" s="5" customFormat="1" ht="12.75">
      <c r="C1" s="6"/>
      <c r="D1" s="6"/>
      <c r="E1" s="47" t="s">
        <v>101</v>
      </c>
      <c r="F1" s="47"/>
      <c r="G1" s="47"/>
      <c r="H1" s="47"/>
      <c r="I1" s="47"/>
      <c r="J1" s="6"/>
      <c r="K1" s="6"/>
      <c r="IM1" s="3"/>
      <c r="IN1" s="3"/>
    </row>
    <row r="2" spans="5:248" s="5" customFormat="1" ht="12.75">
      <c r="E2" s="47" t="s">
        <v>73</v>
      </c>
      <c r="F2" s="47"/>
      <c r="G2" s="47"/>
      <c r="H2" s="47"/>
      <c r="I2" s="47"/>
      <c r="IM2" s="3"/>
      <c r="IN2" s="3"/>
    </row>
    <row r="3" spans="2:243" s="5" customFormat="1" ht="12.75">
      <c r="B3" s="2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ID3" s="3"/>
      <c r="IE3" s="3"/>
      <c r="IF3" s="3"/>
      <c r="IG3" s="3"/>
      <c r="IH3" s="3"/>
      <c r="II3" s="3"/>
    </row>
    <row r="4" spans="2:243" s="5" customFormat="1" ht="18.75" customHeight="1">
      <c r="B4" s="21"/>
      <c r="D4" s="73" t="s">
        <v>0</v>
      </c>
      <c r="E4" s="209" t="str">
        <f>+'A) Reajuste Tarifas y Ocupación'!D9</f>
        <v>BIENVALP</v>
      </c>
      <c r="F4" s="66"/>
      <c r="G4" s="67"/>
      <c r="H4" s="67"/>
      <c r="I4" s="67"/>
      <c r="J4" s="67"/>
      <c r="N4" s="2"/>
      <c r="ID4" s="3"/>
      <c r="IE4" s="3"/>
      <c r="IF4" s="3"/>
      <c r="IG4" s="3"/>
      <c r="IH4" s="3"/>
      <c r="II4" s="3"/>
    </row>
    <row r="5" spans="2:243" s="5" customFormat="1" ht="12.75">
      <c r="B5" s="21"/>
      <c r="D5" s="74"/>
      <c r="E5" s="70"/>
      <c r="F5" s="70"/>
      <c r="G5" s="70"/>
      <c r="H5" s="70"/>
      <c r="I5" s="70"/>
      <c r="J5" s="70"/>
      <c r="N5" s="2"/>
      <c r="ID5" s="3"/>
      <c r="IE5" s="3"/>
      <c r="IF5" s="3"/>
      <c r="IG5" s="3"/>
      <c r="IH5" s="3"/>
      <c r="II5" s="3"/>
    </row>
    <row r="6" spans="2:243" s="5" customFormat="1" ht="12.75">
      <c r="B6" s="21"/>
      <c r="D6" s="74"/>
      <c r="E6" s="70"/>
      <c r="F6" s="70"/>
      <c r="G6" s="70"/>
      <c r="H6" s="70"/>
      <c r="I6" s="70"/>
      <c r="J6" s="70"/>
      <c r="N6" s="2"/>
      <c r="ID6" s="3"/>
      <c r="IE6" s="3"/>
      <c r="IF6" s="3"/>
      <c r="IG6" s="3"/>
      <c r="IH6" s="3"/>
      <c r="II6" s="3"/>
    </row>
    <row r="7" spans="2:243" s="12" customFormat="1" ht="15.75">
      <c r="B7" s="528" t="s">
        <v>100</v>
      </c>
      <c r="C7" s="528"/>
      <c r="D7" s="528"/>
      <c r="E7" s="528"/>
      <c r="F7" s="72"/>
      <c r="G7" s="72"/>
      <c r="H7" s="72"/>
      <c r="I7" s="72"/>
      <c r="J7" s="70"/>
      <c r="K7" s="68" t="s">
        <v>3</v>
      </c>
      <c r="L7" s="69">
        <v>0.03</v>
      </c>
      <c r="N7" s="23"/>
      <c r="ID7" s="9"/>
      <c r="IE7" s="9"/>
      <c r="IF7" s="9"/>
      <c r="IG7" s="9"/>
      <c r="IH7" s="9"/>
      <c r="II7" s="9"/>
    </row>
    <row r="8" ht="13.5" thickBot="1"/>
    <row r="9" spans="2:20" ht="15" customHeight="1">
      <c r="B9" s="559" t="s">
        <v>79</v>
      </c>
      <c r="C9" s="561" t="s">
        <v>42</v>
      </c>
      <c r="D9" s="563" t="s">
        <v>43</v>
      </c>
      <c r="E9" s="565" t="s">
        <v>2</v>
      </c>
      <c r="F9" s="575" t="s">
        <v>50</v>
      </c>
      <c r="G9" s="577" t="s">
        <v>117</v>
      </c>
      <c r="H9" s="578"/>
      <c r="I9" s="578"/>
      <c r="J9" s="579"/>
      <c r="K9" s="580" t="s">
        <v>118</v>
      </c>
      <c r="L9" s="567" t="s">
        <v>80</v>
      </c>
      <c r="O9" s="25"/>
      <c r="P9" s="25"/>
      <c r="Q9" s="25"/>
      <c r="R9" s="25"/>
      <c r="S9" s="25"/>
      <c r="T9" s="25"/>
    </row>
    <row r="10" spans="2:24" ht="39" thickBot="1">
      <c r="B10" s="560"/>
      <c r="C10" s="562"/>
      <c r="D10" s="564"/>
      <c r="E10" s="566"/>
      <c r="F10" s="576"/>
      <c r="G10" s="205" t="s">
        <v>119</v>
      </c>
      <c r="H10" s="206" t="s">
        <v>81</v>
      </c>
      <c r="I10" s="206" t="s">
        <v>82</v>
      </c>
      <c r="J10" s="207" t="s">
        <v>120</v>
      </c>
      <c r="K10" s="581"/>
      <c r="L10" s="568"/>
      <c r="M10" s="27"/>
      <c r="N10" s="63"/>
      <c r="O10" s="63"/>
      <c r="P10" s="18"/>
      <c r="Q10" s="18"/>
      <c r="R10" s="18"/>
      <c r="S10" s="27"/>
      <c r="T10" s="569"/>
      <c r="U10" s="569"/>
      <c r="V10" s="569"/>
      <c r="W10" s="569"/>
      <c r="X10" s="27"/>
    </row>
    <row r="11" spans="2:256" s="1" customFormat="1" ht="12.75">
      <c r="B11" s="570" t="str">
        <f>+'A) Reajuste Tarifas y Ocupación'!A16</f>
        <v>DALEGRÍA</v>
      </c>
      <c r="C11" s="341" t="s">
        <v>174</v>
      </c>
      <c r="D11" s="342" t="s">
        <v>175</v>
      </c>
      <c r="E11" s="165" t="s">
        <v>200</v>
      </c>
      <c r="F11" s="200" t="s">
        <v>97</v>
      </c>
      <c r="G11" s="202"/>
      <c r="H11" s="198"/>
      <c r="I11" s="198"/>
      <c r="J11" s="326">
        <f>SUM(G11:I11)</f>
        <v>0</v>
      </c>
      <c r="K11" s="327">
        <f>+J11*(1+$L$7)</f>
        <v>0</v>
      </c>
      <c r="L11" s="572">
        <f>SUM(K11:K28)</f>
        <v>159313284.76</v>
      </c>
      <c r="M11" s="27"/>
      <c r="N11" s="32"/>
      <c r="O11" s="32"/>
      <c r="P11" s="64"/>
      <c r="Q11" s="64"/>
      <c r="R11" s="64"/>
      <c r="S11" s="29"/>
      <c r="T11" s="28"/>
      <c r="U11" s="28"/>
      <c r="V11" s="28"/>
      <c r="W11" s="28"/>
      <c r="X11" s="3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2:256" s="1" customFormat="1" ht="12.75">
      <c r="B12" s="570"/>
      <c r="C12" s="343" t="s">
        <v>176</v>
      </c>
      <c r="D12" s="344" t="s">
        <v>177</v>
      </c>
      <c r="E12" s="87" t="s">
        <v>199</v>
      </c>
      <c r="F12" s="121" t="s">
        <v>97</v>
      </c>
      <c r="G12" s="203">
        <v>11086197</v>
      </c>
      <c r="H12" s="198">
        <v>322000</v>
      </c>
      <c r="I12" s="198">
        <v>129000</v>
      </c>
      <c r="J12" s="328">
        <f aca="true" t="shared" si="0" ref="J12:J28">SUM(G12:I12)</f>
        <v>11537197</v>
      </c>
      <c r="K12" s="329">
        <f aca="true" t="shared" si="1" ref="K12:K28">+J12*(1+$L$7)</f>
        <v>11883312.91</v>
      </c>
      <c r="L12" s="573"/>
      <c r="M12" s="27"/>
      <c r="N12" s="32"/>
      <c r="O12" s="32"/>
      <c r="P12" s="18"/>
      <c r="Q12" s="18"/>
      <c r="R12" s="18"/>
      <c r="S12" s="29"/>
      <c r="T12" s="28"/>
      <c r="U12" s="28"/>
      <c r="V12" s="28"/>
      <c r="W12" s="28"/>
      <c r="X12" s="30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2:256" s="1" customFormat="1" ht="12.75">
      <c r="B13" s="570"/>
      <c r="C13" s="343" t="s">
        <v>196</v>
      </c>
      <c r="D13" s="344" t="s">
        <v>197</v>
      </c>
      <c r="E13" s="87" t="s">
        <v>198</v>
      </c>
      <c r="F13" s="121" t="s">
        <v>97</v>
      </c>
      <c r="G13" s="203">
        <v>8215257</v>
      </c>
      <c r="H13" s="198">
        <v>322000</v>
      </c>
      <c r="I13" s="198">
        <v>129000</v>
      </c>
      <c r="J13" s="328">
        <f t="shared" si="0"/>
        <v>8666257</v>
      </c>
      <c r="K13" s="329">
        <f t="shared" si="1"/>
        <v>8926244.71</v>
      </c>
      <c r="L13" s="573"/>
      <c r="M13" s="27"/>
      <c r="N13" s="32"/>
      <c r="O13" s="32"/>
      <c r="P13" s="18"/>
      <c r="Q13" s="18"/>
      <c r="R13" s="18"/>
      <c r="S13" s="29"/>
      <c r="T13" s="28"/>
      <c r="U13" s="28"/>
      <c r="V13" s="28"/>
      <c r="W13" s="28"/>
      <c r="X13" s="3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2:256" s="1" customFormat="1" ht="12.75">
      <c r="B14" s="570"/>
      <c r="C14" s="343" t="s">
        <v>201</v>
      </c>
      <c r="D14" s="344" t="s">
        <v>202</v>
      </c>
      <c r="E14" s="87" t="s">
        <v>203</v>
      </c>
      <c r="F14" s="121" t="s">
        <v>97</v>
      </c>
      <c r="G14" s="203">
        <v>26481381</v>
      </c>
      <c r="H14" s="198">
        <v>322000</v>
      </c>
      <c r="I14" s="198">
        <v>129000</v>
      </c>
      <c r="J14" s="328">
        <f t="shared" si="0"/>
        <v>26932381</v>
      </c>
      <c r="K14" s="329">
        <f t="shared" si="1"/>
        <v>27740352.43</v>
      </c>
      <c r="L14" s="573"/>
      <c r="M14" s="27"/>
      <c r="N14" s="32"/>
      <c r="O14" s="32"/>
      <c r="P14" s="18"/>
      <c r="Q14" s="18"/>
      <c r="R14" s="18"/>
      <c r="S14" s="29"/>
      <c r="T14" s="28"/>
      <c r="U14" s="28"/>
      <c r="V14" s="28"/>
      <c r="W14" s="28"/>
      <c r="X14" s="30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2:256" s="1" customFormat="1" ht="12.75">
      <c r="B15" s="570"/>
      <c r="C15" s="343" t="s">
        <v>178</v>
      </c>
      <c r="D15" s="344" t="s">
        <v>204</v>
      </c>
      <c r="E15" s="87" t="s">
        <v>205</v>
      </c>
      <c r="F15" s="121" t="s">
        <v>97</v>
      </c>
      <c r="G15" s="203">
        <v>14270169</v>
      </c>
      <c r="H15" s="198">
        <v>322000</v>
      </c>
      <c r="I15" s="198">
        <v>129000</v>
      </c>
      <c r="J15" s="328">
        <f t="shared" si="0"/>
        <v>14721169</v>
      </c>
      <c r="K15" s="329">
        <f t="shared" si="1"/>
        <v>15162804.07</v>
      </c>
      <c r="L15" s="573"/>
      <c r="M15" s="27"/>
      <c r="N15" s="32"/>
      <c r="O15" s="32"/>
      <c r="P15" s="18"/>
      <c r="Q15" s="18"/>
      <c r="R15" s="18"/>
      <c r="S15" s="29"/>
      <c r="T15" s="28"/>
      <c r="U15" s="28"/>
      <c r="V15" s="28"/>
      <c r="W15" s="28"/>
      <c r="X15" s="30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2:256" s="1" customFormat="1" ht="12.75">
      <c r="B16" s="570"/>
      <c r="C16" s="343" t="s">
        <v>179</v>
      </c>
      <c r="D16" s="344" t="s">
        <v>206</v>
      </c>
      <c r="E16" s="87" t="s">
        <v>207</v>
      </c>
      <c r="F16" s="122" t="s">
        <v>97</v>
      </c>
      <c r="G16" s="203">
        <v>5685932</v>
      </c>
      <c r="H16" s="198">
        <v>322000</v>
      </c>
      <c r="I16" s="198">
        <v>129000</v>
      </c>
      <c r="J16" s="328">
        <f t="shared" si="0"/>
        <v>6136932</v>
      </c>
      <c r="K16" s="329">
        <f t="shared" si="1"/>
        <v>6321039.96</v>
      </c>
      <c r="L16" s="573"/>
      <c r="M16" s="27"/>
      <c r="N16" s="32"/>
      <c r="O16" s="32"/>
      <c r="P16" s="18"/>
      <c r="Q16" s="18"/>
      <c r="R16" s="18"/>
      <c r="S16" s="29"/>
      <c r="T16" s="28"/>
      <c r="U16" s="28"/>
      <c r="V16" s="28"/>
      <c r="W16" s="28"/>
      <c r="X16" s="30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2:256" s="1" customFormat="1" ht="12.75">
      <c r="B17" s="570"/>
      <c r="C17" s="343" t="s">
        <v>180</v>
      </c>
      <c r="D17" s="344" t="s">
        <v>185</v>
      </c>
      <c r="E17" s="87" t="s">
        <v>200</v>
      </c>
      <c r="F17" s="122" t="s">
        <v>97</v>
      </c>
      <c r="G17" s="203">
        <v>9735837</v>
      </c>
      <c r="H17" s="198">
        <v>322000</v>
      </c>
      <c r="I17" s="198">
        <v>129000</v>
      </c>
      <c r="J17" s="328">
        <f t="shared" si="0"/>
        <v>10186837</v>
      </c>
      <c r="K17" s="329">
        <f t="shared" si="1"/>
        <v>10492442.11</v>
      </c>
      <c r="L17" s="573"/>
      <c r="M17" s="27"/>
      <c r="N17" s="32"/>
      <c r="O17" s="32"/>
      <c r="P17" s="18"/>
      <c r="Q17" s="18"/>
      <c r="R17" s="18"/>
      <c r="S17" s="29"/>
      <c r="T17" s="28"/>
      <c r="U17" s="28"/>
      <c r="V17" s="28"/>
      <c r="W17" s="28"/>
      <c r="X17" s="30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2:256" s="1" customFormat="1" ht="12.75">
      <c r="B18" s="570"/>
      <c r="C18" s="343" t="s">
        <v>181</v>
      </c>
      <c r="D18" s="344" t="s">
        <v>186</v>
      </c>
      <c r="E18" s="87" t="s">
        <v>208</v>
      </c>
      <c r="F18" s="122" t="s">
        <v>97</v>
      </c>
      <c r="G18" s="203">
        <v>10456702</v>
      </c>
      <c r="H18" s="198">
        <v>322000</v>
      </c>
      <c r="I18" s="198">
        <v>129000</v>
      </c>
      <c r="J18" s="328">
        <f t="shared" si="0"/>
        <v>10907702</v>
      </c>
      <c r="K18" s="329">
        <f t="shared" si="1"/>
        <v>11234933.06</v>
      </c>
      <c r="L18" s="573"/>
      <c r="M18" s="27"/>
      <c r="N18" s="32"/>
      <c r="O18" s="32"/>
      <c r="P18" s="18"/>
      <c r="Q18" s="18"/>
      <c r="R18" s="18"/>
      <c r="S18" s="29"/>
      <c r="T18" s="28"/>
      <c r="U18" s="28"/>
      <c r="V18" s="28"/>
      <c r="W18" s="28"/>
      <c r="X18" s="30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2:256" s="1" customFormat="1" ht="12.75">
      <c r="B19" s="570"/>
      <c r="C19" s="343" t="s">
        <v>182</v>
      </c>
      <c r="D19" s="344" t="s">
        <v>209</v>
      </c>
      <c r="E19" s="87" t="s">
        <v>210</v>
      </c>
      <c r="F19" s="122" t="s">
        <v>97</v>
      </c>
      <c r="G19" s="203">
        <v>13542310</v>
      </c>
      <c r="H19" s="198">
        <v>322000</v>
      </c>
      <c r="I19" s="198">
        <v>129000</v>
      </c>
      <c r="J19" s="328">
        <f t="shared" si="0"/>
        <v>13993310</v>
      </c>
      <c r="K19" s="329">
        <f t="shared" si="1"/>
        <v>14413109.3</v>
      </c>
      <c r="L19" s="573"/>
      <c r="M19" s="27"/>
      <c r="N19" s="32"/>
      <c r="O19" s="32"/>
      <c r="P19" s="18"/>
      <c r="Q19" s="18"/>
      <c r="R19" s="18"/>
      <c r="S19" s="29"/>
      <c r="T19" s="28"/>
      <c r="U19" s="28"/>
      <c r="V19" s="28"/>
      <c r="W19" s="28"/>
      <c r="X19" s="30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2:256" s="1" customFormat="1" ht="12.75">
      <c r="B20" s="570"/>
      <c r="C20" s="343" t="s">
        <v>183</v>
      </c>
      <c r="D20" s="344" t="s">
        <v>187</v>
      </c>
      <c r="E20" s="87" t="s">
        <v>200</v>
      </c>
      <c r="F20" s="122" t="s">
        <v>97</v>
      </c>
      <c r="G20" s="203">
        <v>8265525</v>
      </c>
      <c r="H20" s="198">
        <v>322000</v>
      </c>
      <c r="I20" s="198">
        <v>129000</v>
      </c>
      <c r="J20" s="328">
        <f t="shared" si="0"/>
        <v>8716525</v>
      </c>
      <c r="K20" s="329">
        <f t="shared" si="1"/>
        <v>8978020.75</v>
      </c>
      <c r="L20" s="573"/>
      <c r="M20" s="27"/>
      <c r="N20" s="32"/>
      <c r="O20" s="32"/>
      <c r="P20" s="18"/>
      <c r="Q20" s="18"/>
      <c r="R20" s="18"/>
      <c r="S20" s="29"/>
      <c r="T20" s="28"/>
      <c r="U20" s="28"/>
      <c r="V20" s="28"/>
      <c r="W20" s="28"/>
      <c r="X20" s="30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2:256" s="1" customFormat="1" ht="12.75">
      <c r="B21" s="570"/>
      <c r="C21" s="343" t="s">
        <v>184</v>
      </c>
      <c r="D21" s="344" t="s">
        <v>188</v>
      </c>
      <c r="E21" s="87" t="s">
        <v>211</v>
      </c>
      <c r="F21" s="122" t="s">
        <v>97</v>
      </c>
      <c r="G21" s="203">
        <v>12095949</v>
      </c>
      <c r="H21" s="198">
        <v>322000</v>
      </c>
      <c r="I21" s="198">
        <v>129000</v>
      </c>
      <c r="J21" s="328">
        <f t="shared" si="0"/>
        <v>12546949</v>
      </c>
      <c r="K21" s="329">
        <f t="shared" si="1"/>
        <v>12923357.47</v>
      </c>
      <c r="L21" s="573"/>
      <c r="M21" s="27"/>
      <c r="N21" s="32"/>
      <c r="O21" s="32"/>
      <c r="P21" s="18"/>
      <c r="Q21" s="18"/>
      <c r="R21" s="18"/>
      <c r="S21" s="29"/>
      <c r="T21" s="28"/>
      <c r="U21" s="28"/>
      <c r="V21" s="28"/>
      <c r="W21" s="28"/>
      <c r="X21" s="3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2:256" s="1" customFormat="1" ht="12.75">
      <c r="B22" s="570"/>
      <c r="C22" s="343" t="s">
        <v>212</v>
      </c>
      <c r="D22" s="87" t="s">
        <v>213</v>
      </c>
      <c r="E22" s="87" t="s">
        <v>200</v>
      </c>
      <c r="F22" s="122" t="s">
        <v>97</v>
      </c>
      <c r="G22" s="203">
        <v>8422425</v>
      </c>
      <c r="H22" s="198">
        <v>322000</v>
      </c>
      <c r="I22" s="198">
        <v>129000</v>
      </c>
      <c r="J22" s="328">
        <f t="shared" si="0"/>
        <v>8873425</v>
      </c>
      <c r="K22" s="329">
        <f t="shared" si="1"/>
        <v>9139627.75</v>
      </c>
      <c r="L22" s="573"/>
      <c r="M22" s="27"/>
      <c r="N22" s="32"/>
      <c r="O22" s="32"/>
      <c r="P22" s="18"/>
      <c r="Q22" s="18"/>
      <c r="R22" s="18"/>
      <c r="S22" s="29"/>
      <c r="T22" s="28"/>
      <c r="U22" s="28"/>
      <c r="V22" s="28"/>
      <c r="W22" s="28"/>
      <c r="X22" s="3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2:256" s="1" customFormat="1" ht="12.75">
      <c r="B23" s="570"/>
      <c r="C23" s="343" t="s">
        <v>194</v>
      </c>
      <c r="D23" s="344" t="s">
        <v>195</v>
      </c>
      <c r="E23" s="87" t="s">
        <v>214</v>
      </c>
      <c r="F23" s="122" t="s">
        <v>97</v>
      </c>
      <c r="G23" s="203"/>
      <c r="H23" s="198"/>
      <c r="I23" s="198"/>
      <c r="J23" s="328">
        <f t="shared" si="0"/>
        <v>0</v>
      </c>
      <c r="K23" s="329">
        <f t="shared" si="1"/>
        <v>0</v>
      </c>
      <c r="L23" s="573"/>
      <c r="M23" s="27"/>
      <c r="N23" s="32"/>
      <c r="O23" s="32"/>
      <c r="P23" s="18"/>
      <c r="Q23" s="18"/>
      <c r="R23" s="18"/>
      <c r="S23" s="29"/>
      <c r="T23" s="28"/>
      <c r="U23" s="28"/>
      <c r="V23" s="28"/>
      <c r="W23" s="28"/>
      <c r="X23" s="3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2:256" s="1" customFormat="1" ht="12.75">
      <c r="B24" s="570"/>
      <c r="C24" s="117" t="s">
        <v>189</v>
      </c>
      <c r="D24" s="87" t="s">
        <v>191</v>
      </c>
      <c r="E24" s="87" t="s">
        <v>210</v>
      </c>
      <c r="F24" s="122" t="s">
        <v>97</v>
      </c>
      <c r="G24" s="203">
        <v>10095706</v>
      </c>
      <c r="H24" s="198">
        <v>322000</v>
      </c>
      <c r="I24" s="198">
        <v>129000</v>
      </c>
      <c r="J24" s="330">
        <f t="shared" si="0"/>
        <v>10546706</v>
      </c>
      <c r="K24" s="329">
        <f t="shared" si="1"/>
        <v>10863107.18</v>
      </c>
      <c r="L24" s="573"/>
      <c r="M24" s="27"/>
      <c r="N24" s="32"/>
      <c r="O24" s="32"/>
      <c r="P24" s="18"/>
      <c r="Q24" s="18"/>
      <c r="R24" s="18"/>
      <c r="S24" s="29"/>
      <c r="T24" s="28"/>
      <c r="U24" s="28"/>
      <c r="V24" s="28"/>
      <c r="W24" s="28"/>
      <c r="X24" s="3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2:256" s="1" customFormat="1" ht="12.75">
      <c r="B25" s="570"/>
      <c r="C25" s="117" t="s">
        <v>190</v>
      </c>
      <c r="D25" s="87" t="s">
        <v>192</v>
      </c>
      <c r="E25" s="87" t="s">
        <v>208</v>
      </c>
      <c r="F25" s="122" t="s">
        <v>97</v>
      </c>
      <c r="G25" s="203">
        <v>10456702</v>
      </c>
      <c r="H25" s="198">
        <v>322000</v>
      </c>
      <c r="I25" s="198">
        <v>129000</v>
      </c>
      <c r="J25" s="330">
        <f t="shared" si="0"/>
        <v>10907702</v>
      </c>
      <c r="K25" s="329">
        <f t="shared" si="1"/>
        <v>11234933.06</v>
      </c>
      <c r="L25" s="573"/>
      <c r="M25" s="27"/>
      <c r="N25" s="32"/>
      <c r="O25" s="32"/>
      <c r="P25" s="18"/>
      <c r="Q25" s="18"/>
      <c r="R25" s="18"/>
      <c r="S25" s="29"/>
      <c r="T25" s="28"/>
      <c r="U25" s="28"/>
      <c r="V25" s="28"/>
      <c r="W25" s="28"/>
      <c r="X25" s="3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2:256" s="1" customFormat="1" ht="12.75">
      <c r="B26" s="570"/>
      <c r="C26" s="117"/>
      <c r="D26" s="87"/>
      <c r="E26" s="87"/>
      <c r="F26" s="122" t="s">
        <v>97</v>
      </c>
      <c r="G26" s="203">
        <v>0</v>
      </c>
      <c r="H26" s="198"/>
      <c r="I26" s="198"/>
      <c r="J26" s="330">
        <f t="shared" si="0"/>
        <v>0</v>
      </c>
      <c r="K26" s="329">
        <f t="shared" si="1"/>
        <v>0</v>
      </c>
      <c r="L26" s="573"/>
      <c r="M26" s="27"/>
      <c r="N26" s="32"/>
      <c r="O26" s="32"/>
      <c r="P26" s="18"/>
      <c r="Q26" s="18"/>
      <c r="R26" s="18"/>
      <c r="S26" s="29"/>
      <c r="T26" s="28"/>
      <c r="U26" s="28"/>
      <c r="V26" s="28"/>
      <c r="W26" s="28"/>
      <c r="X26" s="30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2:256" s="1" customFormat="1" ht="12.75">
      <c r="B27" s="570"/>
      <c r="C27" s="117"/>
      <c r="D27" s="87"/>
      <c r="E27" s="87"/>
      <c r="F27" s="122" t="s">
        <v>97</v>
      </c>
      <c r="G27" s="203">
        <v>0</v>
      </c>
      <c r="H27" s="198"/>
      <c r="I27" s="198"/>
      <c r="J27" s="330">
        <f t="shared" si="0"/>
        <v>0</v>
      </c>
      <c r="K27" s="329">
        <f t="shared" si="1"/>
        <v>0</v>
      </c>
      <c r="L27" s="573"/>
      <c r="M27" s="27"/>
      <c r="N27" s="32"/>
      <c r="O27" s="32"/>
      <c r="P27" s="18"/>
      <c r="Q27" s="18"/>
      <c r="R27" s="18"/>
      <c r="S27" s="29"/>
      <c r="T27" s="28"/>
      <c r="U27" s="28"/>
      <c r="V27" s="28"/>
      <c r="W27" s="2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2:256" ht="13.5" thickBot="1">
      <c r="B28" s="571"/>
      <c r="C28" s="199"/>
      <c r="D28" s="106"/>
      <c r="E28" s="197"/>
      <c r="F28" s="201" t="s">
        <v>97</v>
      </c>
      <c r="G28" s="204">
        <v>0</v>
      </c>
      <c r="H28" s="198"/>
      <c r="I28" s="198"/>
      <c r="J28" s="331">
        <f t="shared" si="0"/>
        <v>0</v>
      </c>
      <c r="K28" s="332">
        <f t="shared" si="1"/>
        <v>0</v>
      </c>
      <c r="L28" s="574"/>
      <c r="M28" s="27"/>
      <c r="N28" s="32"/>
      <c r="O28" s="32"/>
      <c r="P28" s="32"/>
      <c r="Q28" s="32"/>
      <c r="R28" s="32"/>
      <c r="S28" s="33"/>
      <c r="T28" s="32"/>
      <c r="U28" s="32"/>
      <c r="V28" s="32"/>
      <c r="W28" s="32"/>
      <c r="X28" s="34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2:24" ht="16.5" thickBot="1">
      <c r="B29" s="24"/>
      <c r="C29" s="208"/>
      <c r="D29" s="48"/>
      <c r="E29" s="49"/>
      <c r="F29" s="49"/>
      <c r="G29" s="49"/>
      <c r="H29" s="49"/>
      <c r="I29" s="49"/>
      <c r="J29" s="38"/>
      <c r="K29" s="333" t="s">
        <v>62</v>
      </c>
      <c r="L29" s="334">
        <f>SUM(L11:L28)</f>
        <v>159313284.76</v>
      </c>
      <c r="M29" s="25"/>
      <c r="N29" s="25"/>
      <c r="O29" s="25"/>
      <c r="P29" s="32"/>
      <c r="Q29" s="32"/>
      <c r="R29" s="32"/>
      <c r="S29" s="35"/>
      <c r="T29" s="35"/>
      <c r="U29" s="36"/>
      <c r="V29" s="36"/>
      <c r="W29" s="37"/>
      <c r="X29" s="37"/>
    </row>
    <row r="30" spans="2:24" ht="12.75">
      <c r="B30" s="24"/>
      <c r="C30" s="48"/>
      <c r="D30" s="48"/>
      <c r="E30" s="49"/>
      <c r="F30" s="49"/>
      <c r="G30" s="49"/>
      <c r="H30" s="49"/>
      <c r="I30" s="49"/>
      <c r="J30" s="38"/>
      <c r="K30" s="38"/>
      <c r="L30" s="38"/>
      <c r="M30" s="25"/>
      <c r="N30" s="25"/>
      <c r="O30" s="25"/>
      <c r="P30" s="32"/>
      <c r="Q30" s="32"/>
      <c r="R30" s="32"/>
      <c r="S30" s="35"/>
      <c r="T30" s="35"/>
      <c r="U30" s="36"/>
      <c r="V30" s="36"/>
      <c r="W30" s="37"/>
      <c r="X30" s="37"/>
    </row>
    <row r="31" spans="2:24" ht="12.75">
      <c r="B31" s="24"/>
      <c r="C31" s="24"/>
      <c r="D31" s="24"/>
      <c r="E31" s="24"/>
      <c r="F31" s="24"/>
      <c r="G31" s="24"/>
      <c r="H31" s="24"/>
      <c r="I31" s="2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  <c r="V31" s="36"/>
      <c r="W31" s="37"/>
      <c r="X31" s="37"/>
    </row>
    <row r="32" spans="2:24" ht="12.75">
      <c r="B32" s="24"/>
      <c r="C32" s="24"/>
      <c r="D32" s="24"/>
      <c r="E32" s="24"/>
      <c r="F32" s="24"/>
      <c r="G32" s="24"/>
      <c r="H32" s="24"/>
      <c r="I32" s="2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6"/>
      <c r="V32" s="36"/>
      <c r="W32" s="37"/>
      <c r="X32" s="37"/>
    </row>
    <row r="33" spans="2:24" ht="12.75">
      <c r="B33" s="24"/>
      <c r="C33" s="24"/>
      <c r="D33" s="24"/>
      <c r="E33" s="24"/>
      <c r="F33" s="24"/>
      <c r="G33" s="24"/>
      <c r="H33" s="24"/>
      <c r="I33" s="2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6"/>
      <c r="V33" s="36"/>
      <c r="W33" s="37"/>
      <c r="X33" s="37"/>
    </row>
    <row r="34" spans="2:24" ht="12.75">
      <c r="B34" s="24"/>
      <c r="C34" s="24"/>
      <c r="D34" s="24"/>
      <c r="E34" s="24"/>
      <c r="F34" s="24"/>
      <c r="G34" s="24"/>
      <c r="H34" s="24"/>
      <c r="I34" s="2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6"/>
      <c r="V34" s="36"/>
      <c r="W34" s="37"/>
      <c r="X34" s="37"/>
    </row>
  </sheetData>
  <sheetProtection password="9C6E" sheet="1"/>
  <mergeCells count="12">
    <mergeCell ref="T10:W10"/>
    <mergeCell ref="B11:B28"/>
    <mergeCell ref="L11:L28"/>
    <mergeCell ref="F9:F10"/>
    <mergeCell ref="G9:J9"/>
    <mergeCell ref="K9:K10"/>
    <mergeCell ref="B7:E7"/>
    <mergeCell ref="B9:B10"/>
    <mergeCell ref="C9:C10"/>
    <mergeCell ref="D9:D10"/>
    <mergeCell ref="E9:E10"/>
    <mergeCell ref="L9:L1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91"/>
  <sheetViews>
    <sheetView showGridLines="0" zoomScale="80" zoomScaleNormal="80" zoomScalePageLayoutView="0" workbookViewId="0" topLeftCell="A1">
      <selection activeCell="F21" sqref="F21"/>
    </sheetView>
  </sheetViews>
  <sheetFormatPr defaultColWidth="11.421875" defaultRowHeight="12.75"/>
  <cols>
    <col min="1" max="1" width="24.00390625" style="9" customWidth="1"/>
    <col min="2" max="2" width="21.140625" style="3" customWidth="1"/>
    <col min="3" max="3" width="57.421875" style="3" bestFit="1" customWidth="1"/>
    <col min="4" max="4" width="17.00390625" style="3" customWidth="1"/>
    <col min="5" max="5" width="14.28125" style="3" customWidth="1"/>
    <col min="6" max="6" width="14.421875" style="22" customWidth="1"/>
    <col min="7" max="7" width="14.28125" style="5" customWidth="1"/>
    <col min="8" max="8" width="16.57421875" style="5" customWidth="1"/>
    <col min="9" max="9" width="11.421875" style="3" customWidth="1"/>
    <col min="10" max="10" width="13.421875" style="3" bestFit="1" customWidth="1"/>
    <col min="11" max="11" width="11.421875" style="3" customWidth="1"/>
    <col min="12" max="12" width="20.28125" style="3" customWidth="1"/>
    <col min="13" max="16384" width="11.421875" style="3" customWidth="1"/>
  </cols>
  <sheetData>
    <row r="1" spans="3:8" ht="12.75">
      <c r="C1" s="47"/>
      <c r="D1" s="47" t="s">
        <v>101</v>
      </c>
      <c r="E1" s="47"/>
      <c r="F1" s="47"/>
      <c r="G1" s="47"/>
      <c r="H1" s="47"/>
    </row>
    <row r="2" spans="3:8" ht="12.75">
      <c r="C2" s="47"/>
      <c r="D2" s="47" t="s">
        <v>104</v>
      </c>
      <c r="E2" s="47"/>
      <c r="F2" s="47"/>
      <c r="G2" s="47"/>
      <c r="H2" s="47"/>
    </row>
    <row r="3" spans="3:8" ht="12.75">
      <c r="C3" s="47"/>
      <c r="E3" s="47"/>
      <c r="F3" s="47"/>
      <c r="G3" s="47"/>
      <c r="H3" s="47"/>
    </row>
    <row r="4" spans="3:8" ht="19.5" customHeight="1">
      <c r="C4" s="74" t="s">
        <v>0</v>
      </c>
      <c r="D4" s="585" t="str">
        <f>+'A) Reajuste Tarifas y Ocupación'!D9</f>
        <v>BIENVALP</v>
      </c>
      <c r="E4" s="586"/>
      <c r="F4" s="47"/>
      <c r="G4" s="47"/>
      <c r="H4" s="47"/>
    </row>
    <row r="5" spans="2:8" ht="12.75">
      <c r="B5" s="47"/>
      <c r="C5" s="70"/>
      <c r="D5" s="47"/>
      <c r="E5" s="47"/>
      <c r="F5" s="47"/>
      <c r="G5" s="47"/>
      <c r="H5" s="47"/>
    </row>
    <row r="6" spans="2:8" ht="12.75">
      <c r="B6" s="47"/>
      <c r="C6" s="70"/>
      <c r="D6" s="47"/>
      <c r="E6" s="47"/>
      <c r="F6" s="47"/>
      <c r="G6" s="47"/>
      <c r="H6" s="47"/>
    </row>
    <row r="7" ht="12.75">
      <c r="C7" s="5"/>
    </row>
    <row r="8" spans="1:7" ht="15.75">
      <c r="A8" s="528" t="s">
        <v>106</v>
      </c>
      <c r="B8" s="528"/>
      <c r="C8" s="528"/>
      <c r="D8" s="70"/>
      <c r="G8" s="3"/>
    </row>
    <row r="10" spans="1:8" ht="12.75" customHeight="1">
      <c r="A10" s="593" t="s">
        <v>79</v>
      </c>
      <c r="B10" s="591" t="s">
        <v>44</v>
      </c>
      <c r="C10" s="589" t="s">
        <v>45</v>
      </c>
      <c r="D10" s="598" t="s">
        <v>46</v>
      </c>
      <c r="E10" s="595" t="s">
        <v>47</v>
      </c>
      <c r="F10" s="596"/>
      <c r="G10" s="597"/>
      <c r="H10" s="587" t="s">
        <v>173</v>
      </c>
    </row>
    <row r="11" spans="1:8" ht="25.5">
      <c r="A11" s="594"/>
      <c r="B11" s="592"/>
      <c r="C11" s="590"/>
      <c r="D11" s="599"/>
      <c r="E11" s="40" t="s">
        <v>39</v>
      </c>
      <c r="F11" s="41" t="s">
        <v>40</v>
      </c>
      <c r="G11" s="42" t="s">
        <v>5</v>
      </c>
      <c r="H11" s="588"/>
    </row>
    <row r="12" spans="1:8" ht="15.75" customHeight="1">
      <c r="A12" s="582" t="str">
        <f>+'A) Reajuste Tarifas y Ocupación'!A16</f>
        <v>DALEGRÍA</v>
      </c>
      <c r="B12" s="59"/>
      <c r="C12" s="44" t="s">
        <v>9</v>
      </c>
      <c r="D12" s="45">
        <f>+D13+D40</f>
        <v>189475877.11499998</v>
      </c>
      <c r="E12" s="43"/>
      <c r="F12" s="43"/>
      <c r="G12" s="43"/>
      <c r="H12" s="46">
        <f>SUM(H13,H18)</f>
        <v>177886325.33499998</v>
      </c>
    </row>
    <row r="13" spans="1:11" ht="12.75">
      <c r="A13" s="583"/>
      <c r="B13" s="210"/>
      <c r="C13" s="211" t="s">
        <v>10</v>
      </c>
      <c r="D13" s="212">
        <f>+D14+D19</f>
        <v>173902137.385</v>
      </c>
      <c r="E13" s="213"/>
      <c r="F13" s="213"/>
      <c r="G13" s="213"/>
      <c r="H13" s="212">
        <f>+H14+H19</f>
        <v>177886325.33499998</v>
      </c>
      <c r="K13" s="3" t="s">
        <v>166</v>
      </c>
    </row>
    <row r="14" spans="1:8" ht="12.75">
      <c r="A14" s="583"/>
      <c r="B14" s="214"/>
      <c r="C14" s="215" t="s">
        <v>10</v>
      </c>
      <c r="D14" s="216">
        <f>SUM(D15:D18)</f>
        <v>160996716.76</v>
      </c>
      <c r="E14" s="217"/>
      <c r="F14" s="217"/>
      <c r="G14" s="217"/>
      <c r="H14" s="218">
        <f>SUM(H15:H18)</f>
        <v>160996716.76</v>
      </c>
    </row>
    <row r="15" spans="1:8" ht="12.75">
      <c r="A15" s="583"/>
      <c r="B15" s="219">
        <v>53103040100000</v>
      </c>
      <c r="C15" s="220" t="s">
        <v>65</v>
      </c>
      <c r="D15" s="242">
        <f>'C) Remuneraciones'!L11</f>
        <v>159313284.76</v>
      </c>
      <c r="E15" s="221"/>
      <c r="F15" s="222"/>
      <c r="G15" s="223"/>
      <c r="H15" s="224">
        <f>D15+G15</f>
        <v>159313284.76</v>
      </c>
    </row>
    <row r="16" spans="1:8" ht="12.75">
      <c r="A16" s="583"/>
      <c r="B16" s="219">
        <v>53103050000000</v>
      </c>
      <c r="C16" s="220" t="s">
        <v>123</v>
      </c>
      <c r="D16" s="90">
        <v>0</v>
      </c>
      <c r="E16" s="91">
        <v>0</v>
      </c>
      <c r="F16" s="92">
        <v>0</v>
      </c>
      <c r="G16" s="225">
        <f>E16*F16</f>
        <v>0</v>
      </c>
      <c r="H16" s="224">
        <f>D16+G16</f>
        <v>0</v>
      </c>
    </row>
    <row r="17" spans="1:8" ht="12.75">
      <c r="A17" s="583"/>
      <c r="B17" s="226">
        <v>53103040400000</v>
      </c>
      <c r="C17" s="227" t="s">
        <v>124</v>
      </c>
      <c r="D17" s="90">
        <v>1683432</v>
      </c>
      <c r="E17" s="91">
        <v>0</v>
      </c>
      <c r="F17" s="92">
        <v>0</v>
      </c>
      <c r="G17" s="225">
        <f>E17*F17</f>
        <v>0</v>
      </c>
      <c r="H17" s="224">
        <f>D17+G17</f>
        <v>1683432</v>
      </c>
    </row>
    <row r="18" spans="1:8" ht="12.75">
      <c r="A18" s="583"/>
      <c r="B18" s="219">
        <v>53103080010000</v>
      </c>
      <c r="C18" s="220" t="s">
        <v>125</v>
      </c>
      <c r="D18" s="90">
        <v>0</v>
      </c>
      <c r="E18" s="91">
        <v>0</v>
      </c>
      <c r="F18" s="92">
        <v>0</v>
      </c>
      <c r="G18" s="225">
        <f>E18*F18</f>
        <v>0</v>
      </c>
      <c r="H18" s="224">
        <f>D18+G18</f>
        <v>0</v>
      </c>
    </row>
    <row r="19" spans="1:8" ht="12.75">
      <c r="A19" s="583"/>
      <c r="B19" s="214"/>
      <c r="C19" s="215" t="s">
        <v>11</v>
      </c>
      <c r="D19" s="216">
        <f>SUM(D20:D39)</f>
        <v>12905420.625</v>
      </c>
      <c r="E19" s="217"/>
      <c r="F19" s="217"/>
      <c r="G19" s="216">
        <f>SUM(G20:G39)</f>
        <v>3984187.95</v>
      </c>
      <c r="H19" s="218">
        <f>SUM(H20:H39)</f>
        <v>16889608.575</v>
      </c>
    </row>
    <row r="20" spans="1:8" ht="12.75">
      <c r="A20" s="583"/>
      <c r="B20" s="219">
        <v>53201010100000</v>
      </c>
      <c r="C20" s="228" t="s">
        <v>126</v>
      </c>
      <c r="D20" s="93">
        <v>0</v>
      </c>
      <c r="E20" s="91">
        <v>1785</v>
      </c>
      <c r="F20" s="92">
        <f>(4*20*10)</f>
        <v>800</v>
      </c>
      <c r="G20" s="225">
        <f aca="true" t="shared" si="0" ref="G20:G39">E20*F20</f>
        <v>1428000</v>
      </c>
      <c r="H20" s="224">
        <f aca="true" t="shared" si="1" ref="H20:H39">D20+G20</f>
        <v>1428000</v>
      </c>
    </row>
    <row r="21" spans="1:8" ht="12.75">
      <c r="A21" s="583"/>
      <c r="B21" s="219">
        <v>53201010100000</v>
      </c>
      <c r="C21" s="228" t="s">
        <v>127</v>
      </c>
      <c r="D21" s="93">
        <v>0</v>
      </c>
      <c r="E21" s="91"/>
      <c r="F21" s="92"/>
      <c r="G21" s="225">
        <f t="shared" si="0"/>
        <v>0</v>
      </c>
      <c r="H21" s="224">
        <f t="shared" si="1"/>
        <v>0</v>
      </c>
    </row>
    <row r="22" spans="1:8" ht="12.75">
      <c r="A22" s="583"/>
      <c r="B22" s="219">
        <v>53201010100000</v>
      </c>
      <c r="C22" s="228" t="s">
        <v>128</v>
      </c>
      <c r="D22" s="93">
        <v>0</v>
      </c>
      <c r="E22" s="91">
        <v>0</v>
      </c>
      <c r="F22" s="94">
        <v>0</v>
      </c>
      <c r="G22" s="225">
        <f t="shared" si="0"/>
        <v>0</v>
      </c>
      <c r="H22" s="224">
        <f t="shared" si="1"/>
        <v>0</v>
      </c>
    </row>
    <row r="23" spans="1:8" ht="12.75">
      <c r="A23" s="583"/>
      <c r="B23" s="219">
        <v>53202010100000</v>
      </c>
      <c r="C23" s="220" t="s">
        <v>129</v>
      </c>
      <c r="D23" s="95"/>
      <c r="E23" s="95">
        <v>0</v>
      </c>
      <c r="F23" s="96">
        <v>0</v>
      </c>
      <c r="G23" s="225">
        <f t="shared" si="0"/>
        <v>0</v>
      </c>
      <c r="H23" s="224">
        <f t="shared" si="1"/>
        <v>0</v>
      </c>
    </row>
    <row r="24" spans="1:8" ht="12.75">
      <c r="A24" s="583"/>
      <c r="B24" s="219">
        <v>53203010100000</v>
      </c>
      <c r="C24" s="220" t="s">
        <v>12</v>
      </c>
      <c r="D24" s="97">
        <f>1402296*1.03/2</f>
        <v>722182.4400000001</v>
      </c>
      <c r="E24" s="97">
        <v>0</v>
      </c>
      <c r="F24" s="98">
        <v>0</v>
      </c>
      <c r="G24" s="225">
        <f t="shared" si="0"/>
        <v>0</v>
      </c>
      <c r="H24" s="224">
        <f t="shared" si="1"/>
        <v>722182.4400000001</v>
      </c>
    </row>
    <row r="25" spans="1:8" ht="12.75">
      <c r="A25" s="583"/>
      <c r="B25" s="219">
        <v>53203030000000</v>
      </c>
      <c r="C25" s="220" t="s">
        <v>130</v>
      </c>
      <c r="D25" s="97">
        <v>0</v>
      </c>
      <c r="E25" s="97">
        <v>0</v>
      </c>
      <c r="F25" s="98">
        <v>0</v>
      </c>
      <c r="G25" s="225">
        <f t="shared" si="0"/>
        <v>0</v>
      </c>
      <c r="H25" s="224">
        <f t="shared" si="1"/>
        <v>0</v>
      </c>
    </row>
    <row r="26" spans="1:8" ht="12.75">
      <c r="A26" s="583"/>
      <c r="B26" s="219">
        <v>53204030000000</v>
      </c>
      <c r="C26" s="220" t="s">
        <v>131</v>
      </c>
      <c r="D26" s="97">
        <f>237820*1.03</f>
        <v>244954.6</v>
      </c>
      <c r="E26" s="97">
        <v>21500</v>
      </c>
      <c r="F26" s="98">
        <v>7</v>
      </c>
      <c r="G26" s="225">
        <f t="shared" si="0"/>
        <v>150500</v>
      </c>
      <c r="H26" s="224">
        <f>D26+G26</f>
        <v>395454.6</v>
      </c>
    </row>
    <row r="27" spans="1:8" ht="12.75">
      <c r="A27" s="583"/>
      <c r="B27" s="219">
        <v>53204100100001</v>
      </c>
      <c r="C27" s="220" t="s">
        <v>13</v>
      </c>
      <c r="D27" s="97">
        <f>'G) Detalle Datos'!K125</f>
        <v>1755426</v>
      </c>
      <c r="E27" s="97">
        <v>0</v>
      </c>
      <c r="F27" s="98">
        <v>0</v>
      </c>
      <c r="G27" s="225">
        <f t="shared" si="0"/>
        <v>0</v>
      </c>
      <c r="H27" s="224">
        <f t="shared" si="1"/>
        <v>1755426</v>
      </c>
    </row>
    <row r="28" spans="1:8" ht="12.75">
      <c r="A28" s="583"/>
      <c r="B28" s="219">
        <v>53204130100000</v>
      </c>
      <c r="C28" s="220" t="s">
        <v>132</v>
      </c>
      <c r="D28" s="97"/>
      <c r="E28" s="97">
        <v>0</v>
      </c>
      <c r="F28" s="98">
        <v>0</v>
      </c>
      <c r="G28" s="225">
        <f t="shared" si="0"/>
        <v>0</v>
      </c>
      <c r="H28" s="224">
        <f t="shared" si="1"/>
        <v>0</v>
      </c>
    </row>
    <row r="29" spans="1:8" ht="12.75">
      <c r="A29" s="583"/>
      <c r="B29" s="219">
        <v>53205010100000</v>
      </c>
      <c r="C29" s="220" t="s">
        <v>14</v>
      </c>
      <c r="D29" s="97">
        <f>3378062*1.03/2</f>
        <v>1739701.93</v>
      </c>
      <c r="E29" s="97">
        <v>0</v>
      </c>
      <c r="F29" s="98">
        <v>0</v>
      </c>
      <c r="G29" s="225">
        <f t="shared" si="0"/>
        <v>0</v>
      </c>
      <c r="H29" s="224">
        <f t="shared" si="1"/>
        <v>1739701.93</v>
      </c>
    </row>
    <row r="30" spans="1:8" ht="12.75">
      <c r="A30" s="583"/>
      <c r="B30" s="219">
        <v>53205020100000</v>
      </c>
      <c r="C30" s="220" t="s">
        <v>15</v>
      </c>
      <c r="D30" s="97">
        <f>4007898*1.03/2</f>
        <v>2064067.47</v>
      </c>
      <c r="E30" s="97">
        <v>0</v>
      </c>
      <c r="F30" s="98">
        <v>0</v>
      </c>
      <c r="G30" s="225">
        <f t="shared" si="0"/>
        <v>0</v>
      </c>
      <c r="H30" s="224">
        <f t="shared" si="1"/>
        <v>2064067.47</v>
      </c>
    </row>
    <row r="31" spans="1:8" ht="12.75">
      <c r="A31" s="583"/>
      <c r="B31" s="219">
        <v>53205030100000</v>
      </c>
      <c r="C31" s="220" t="s">
        <v>16</v>
      </c>
      <c r="D31" s="97">
        <f>9816505*1.03/2</f>
        <v>5055500.075</v>
      </c>
      <c r="E31" s="97">
        <v>0</v>
      </c>
      <c r="F31" s="98">
        <v>0</v>
      </c>
      <c r="G31" s="225">
        <f t="shared" si="0"/>
        <v>0</v>
      </c>
      <c r="H31" s="224">
        <f t="shared" si="1"/>
        <v>5055500.075</v>
      </c>
    </row>
    <row r="32" spans="1:8" ht="12.75">
      <c r="A32" s="583"/>
      <c r="B32" s="219">
        <v>53205050100000</v>
      </c>
      <c r="C32" s="220" t="s">
        <v>17</v>
      </c>
      <c r="D32" s="97">
        <v>0</v>
      </c>
      <c r="E32" s="97">
        <f>46153*1.03</f>
        <v>47537.590000000004</v>
      </c>
      <c r="F32" s="98">
        <v>5</v>
      </c>
      <c r="G32" s="225">
        <f t="shared" si="0"/>
        <v>237687.95</v>
      </c>
      <c r="H32" s="224">
        <f t="shared" si="1"/>
        <v>237687.95</v>
      </c>
    </row>
    <row r="33" spans="1:8" ht="12.75">
      <c r="A33" s="583"/>
      <c r="B33" s="219">
        <v>53205070100000</v>
      </c>
      <c r="C33" s="220" t="s">
        <v>18</v>
      </c>
      <c r="D33" s="97">
        <v>0</v>
      </c>
      <c r="E33" s="97">
        <v>0</v>
      </c>
      <c r="F33" s="98"/>
      <c r="G33" s="225">
        <f t="shared" si="0"/>
        <v>0</v>
      </c>
      <c r="H33" s="224">
        <f t="shared" si="1"/>
        <v>0</v>
      </c>
    </row>
    <row r="34" spans="1:8" ht="12.75">
      <c r="A34" s="583"/>
      <c r="B34" s="219">
        <v>53208010100000</v>
      </c>
      <c r="C34" s="220" t="s">
        <v>19</v>
      </c>
      <c r="D34" s="97">
        <f>145537*1.03</f>
        <v>149903.11000000002</v>
      </c>
      <c r="E34" s="97">
        <v>0</v>
      </c>
      <c r="F34" s="98">
        <v>0</v>
      </c>
      <c r="G34" s="225">
        <f t="shared" si="0"/>
        <v>0</v>
      </c>
      <c r="H34" s="224">
        <f t="shared" si="1"/>
        <v>149903.11000000002</v>
      </c>
    </row>
    <row r="35" spans="1:8" ht="12.75">
      <c r="A35" s="583"/>
      <c r="B35" s="219">
        <v>53208070100001</v>
      </c>
      <c r="C35" s="220" t="s">
        <v>20</v>
      </c>
      <c r="D35" s="99">
        <v>0</v>
      </c>
      <c r="E35" s="99">
        <v>0</v>
      </c>
      <c r="F35" s="96">
        <v>0</v>
      </c>
      <c r="G35" s="225">
        <f t="shared" si="0"/>
        <v>0</v>
      </c>
      <c r="H35" s="224">
        <f t="shared" si="1"/>
        <v>0</v>
      </c>
    </row>
    <row r="36" spans="1:8" ht="12.75">
      <c r="A36" s="583"/>
      <c r="B36" s="219">
        <v>53208100100001</v>
      </c>
      <c r="C36" s="220" t="s">
        <v>133</v>
      </c>
      <c r="D36" s="97">
        <f>654500*1.03</f>
        <v>674135</v>
      </c>
      <c r="E36" s="97"/>
      <c r="F36" s="98"/>
      <c r="G36" s="225">
        <f t="shared" si="0"/>
        <v>0</v>
      </c>
      <c r="H36" s="224">
        <f t="shared" si="1"/>
        <v>674135</v>
      </c>
    </row>
    <row r="37" spans="1:8" ht="12.75">
      <c r="A37" s="583"/>
      <c r="B37" s="219">
        <v>53211030000000</v>
      </c>
      <c r="C37" s="220" t="s">
        <v>21</v>
      </c>
      <c r="D37" s="97">
        <v>0</v>
      </c>
      <c r="E37" s="97">
        <v>0</v>
      </c>
      <c r="F37" s="98">
        <v>0</v>
      </c>
      <c r="G37" s="225">
        <f t="shared" si="0"/>
        <v>0</v>
      </c>
      <c r="H37" s="224">
        <f t="shared" si="1"/>
        <v>0</v>
      </c>
    </row>
    <row r="38" spans="1:8" ht="15.75" customHeight="1">
      <c r="A38" s="583"/>
      <c r="B38" s="219">
        <v>53212020100000</v>
      </c>
      <c r="C38" s="220" t="s">
        <v>134</v>
      </c>
      <c r="D38" s="97">
        <v>0</v>
      </c>
      <c r="E38" s="97">
        <v>310000</v>
      </c>
      <c r="F38" s="98">
        <v>5</v>
      </c>
      <c r="G38" s="225">
        <f t="shared" si="0"/>
        <v>1550000</v>
      </c>
      <c r="H38" s="224">
        <f t="shared" si="1"/>
        <v>1550000</v>
      </c>
    </row>
    <row r="39" spans="1:8" ht="12.75">
      <c r="A39" s="583"/>
      <c r="B39" s="219">
        <v>53214020000000</v>
      </c>
      <c r="C39" s="220" t="s">
        <v>135</v>
      </c>
      <c r="D39" s="99">
        <f>485000*1.03</f>
        <v>499550</v>
      </c>
      <c r="E39" s="99">
        <f>600000*1.03</f>
        <v>618000</v>
      </c>
      <c r="F39" s="96">
        <v>1</v>
      </c>
      <c r="G39" s="225">
        <f t="shared" si="0"/>
        <v>618000</v>
      </c>
      <c r="H39" s="224">
        <f t="shared" si="1"/>
        <v>1117550</v>
      </c>
    </row>
    <row r="40" spans="1:8" ht="12.75">
      <c r="A40" s="583"/>
      <c r="B40" s="210"/>
      <c r="C40" s="211" t="s">
        <v>22</v>
      </c>
      <c r="D40" s="212">
        <f>+D46+D48+D57+D66+D74</f>
        <v>15573739.73</v>
      </c>
      <c r="E40" s="213"/>
      <c r="F40" s="213"/>
      <c r="G40" s="212">
        <f>+G41+G46+G48+G57+G66+G74</f>
        <v>3814227.9</v>
      </c>
      <c r="H40" s="229">
        <f>+H41+H46+H48+H57+H66+H74</f>
        <v>19417967.630000003</v>
      </c>
    </row>
    <row r="41" spans="1:8" ht="12.75">
      <c r="A41" s="583"/>
      <c r="B41" s="214"/>
      <c r="C41" s="215" t="s">
        <v>23</v>
      </c>
      <c r="D41" s="216">
        <f>SUM(D42:D45)</f>
        <v>30000</v>
      </c>
      <c r="E41" s="230"/>
      <c r="F41" s="230"/>
      <c r="G41" s="231">
        <f>SUM(G42:G45)</f>
        <v>804990</v>
      </c>
      <c r="H41" s="232">
        <f>SUM(H42:H45)</f>
        <v>834990</v>
      </c>
    </row>
    <row r="42" spans="1:8" ht="12.75">
      <c r="A42" s="583"/>
      <c r="B42" s="219">
        <v>53202020100000</v>
      </c>
      <c r="C42" s="220" t="s">
        <v>136</v>
      </c>
      <c r="D42" s="90">
        <f>30000</f>
        <v>30000</v>
      </c>
      <c r="E42" s="91">
        <v>35000</v>
      </c>
      <c r="F42" s="94">
        <v>22</v>
      </c>
      <c r="G42" s="225">
        <f>E42*F42</f>
        <v>770000</v>
      </c>
      <c r="H42" s="224">
        <f aca="true" t="shared" si="2" ref="H42:H75">D42+G42</f>
        <v>800000</v>
      </c>
    </row>
    <row r="43" spans="1:8" ht="12.75">
      <c r="A43" s="583"/>
      <c r="B43" s="219">
        <v>53202030000000</v>
      </c>
      <c r="C43" s="220" t="s">
        <v>137</v>
      </c>
      <c r="D43" s="90">
        <v>0</v>
      </c>
      <c r="E43" s="91">
        <v>34990</v>
      </c>
      <c r="F43" s="94">
        <v>1</v>
      </c>
      <c r="G43" s="225">
        <f aca="true" t="shared" si="3" ref="G43:G75">E43*F43</f>
        <v>34990</v>
      </c>
      <c r="H43" s="224">
        <f t="shared" si="2"/>
        <v>34990</v>
      </c>
    </row>
    <row r="44" spans="1:8" ht="12.75">
      <c r="A44" s="583"/>
      <c r="B44" s="219">
        <v>53211020000000</v>
      </c>
      <c r="C44" s="220" t="s">
        <v>24</v>
      </c>
      <c r="D44" s="97"/>
      <c r="E44" s="97"/>
      <c r="F44" s="98"/>
      <c r="G44" s="225">
        <f t="shared" si="3"/>
        <v>0</v>
      </c>
      <c r="H44" s="224">
        <f t="shared" si="2"/>
        <v>0</v>
      </c>
    </row>
    <row r="45" spans="1:8" ht="12.75">
      <c r="A45" s="583"/>
      <c r="B45" s="219">
        <v>53101040600000</v>
      </c>
      <c r="C45" s="220" t="s">
        <v>138</v>
      </c>
      <c r="D45" s="97">
        <v>0</v>
      </c>
      <c r="E45" s="97">
        <v>0</v>
      </c>
      <c r="F45" s="98">
        <v>0</v>
      </c>
      <c r="G45" s="225">
        <f t="shared" si="3"/>
        <v>0</v>
      </c>
      <c r="H45" s="224">
        <f t="shared" si="2"/>
        <v>0</v>
      </c>
    </row>
    <row r="46" spans="1:8" ht="12.75">
      <c r="A46" s="583"/>
      <c r="B46" s="214"/>
      <c r="C46" s="215" t="s">
        <v>25</v>
      </c>
      <c r="D46" s="216">
        <f>SUM(D47)</f>
        <v>0</v>
      </c>
      <c r="E46" s="230"/>
      <c r="F46" s="233"/>
      <c r="G46" s="231">
        <f>SUM(G47:G47)</f>
        <v>0</v>
      </c>
      <c r="H46" s="232">
        <f>SUM(H47:H47)</f>
        <v>0</v>
      </c>
    </row>
    <row r="47" spans="1:8" ht="12.75">
      <c r="A47" s="583"/>
      <c r="B47" s="234">
        <v>53205990000000</v>
      </c>
      <c r="C47" s="220" t="s">
        <v>26</v>
      </c>
      <c r="D47" s="97">
        <v>0</v>
      </c>
      <c r="E47" s="97">
        <v>0</v>
      </c>
      <c r="F47" s="98">
        <v>0</v>
      </c>
      <c r="G47" s="225">
        <f t="shared" si="3"/>
        <v>0</v>
      </c>
      <c r="H47" s="224">
        <f t="shared" si="2"/>
        <v>0</v>
      </c>
    </row>
    <row r="48" spans="1:8" ht="12.75">
      <c r="A48" s="583"/>
      <c r="B48" s="214"/>
      <c r="C48" s="215" t="s">
        <v>27</v>
      </c>
      <c r="D48" s="216">
        <f>SUM(D49:D56)</f>
        <v>9550246.98</v>
      </c>
      <c r="E48" s="230"/>
      <c r="F48" s="233"/>
      <c r="G48" s="216">
        <f>SUM(G49:G56)</f>
        <v>136917.9</v>
      </c>
      <c r="H48" s="218">
        <f>SUM(H49:H56)</f>
        <v>9687164.88</v>
      </c>
    </row>
    <row r="49" spans="1:8" ht="12.75">
      <c r="A49" s="583"/>
      <c r="B49" s="219">
        <v>53204010000000</v>
      </c>
      <c r="C49" s="220" t="s">
        <v>28</v>
      </c>
      <c r="D49" s="97">
        <f>675732*1.03/2</f>
        <v>348001.98</v>
      </c>
      <c r="E49" s="97">
        <v>0</v>
      </c>
      <c r="F49" s="98">
        <v>0</v>
      </c>
      <c r="G49" s="225">
        <f t="shared" si="3"/>
        <v>0</v>
      </c>
      <c r="H49" s="224">
        <f t="shared" si="2"/>
        <v>348001.98</v>
      </c>
    </row>
    <row r="50" spans="1:8" ht="12.75">
      <c r="A50" s="583"/>
      <c r="B50" s="234">
        <v>53204040200000</v>
      </c>
      <c r="C50" s="220" t="s">
        <v>139</v>
      </c>
      <c r="D50" s="97">
        <f>'G) Detalle Datos'!J67</f>
        <v>6085980</v>
      </c>
      <c r="E50" s="97">
        <f>18990*1.03</f>
        <v>19559.7</v>
      </c>
      <c r="F50" s="98">
        <v>7</v>
      </c>
      <c r="G50" s="225">
        <f t="shared" si="3"/>
        <v>136917.9</v>
      </c>
      <c r="H50" s="224">
        <f t="shared" si="2"/>
        <v>6222897.9</v>
      </c>
    </row>
    <row r="51" spans="1:8" ht="12.75">
      <c r="A51" s="583"/>
      <c r="B51" s="219">
        <v>53204060000000</v>
      </c>
      <c r="C51" s="220" t="s">
        <v>29</v>
      </c>
      <c r="D51" s="97">
        <v>0</v>
      </c>
      <c r="E51" s="97">
        <v>0</v>
      </c>
      <c r="F51" s="98">
        <v>0</v>
      </c>
      <c r="G51" s="225">
        <f t="shared" si="3"/>
        <v>0</v>
      </c>
      <c r="H51" s="224">
        <f t="shared" si="2"/>
        <v>0</v>
      </c>
    </row>
    <row r="52" spans="1:8" ht="12.75">
      <c r="A52" s="583"/>
      <c r="B52" s="219">
        <v>53204070000000</v>
      </c>
      <c r="C52" s="220" t="s">
        <v>30</v>
      </c>
      <c r="D52" s="97">
        <f>4653000*1.03/2</f>
        <v>2396295</v>
      </c>
      <c r="E52" s="97">
        <v>0</v>
      </c>
      <c r="F52" s="98">
        <v>0</v>
      </c>
      <c r="G52" s="225">
        <f t="shared" si="3"/>
        <v>0</v>
      </c>
      <c r="H52" s="224">
        <f t="shared" si="2"/>
        <v>2396295</v>
      </c>
    </row>
    <row r="53" spans="1:8" ht="12.75">
      <c r="A53" s="583"/>
      <c r="B53" s="219">
        <v>53204080000000</v>
      </c>
      <c r="C53" s="220" t="s">
        <v>31</v>
      </c>
      <c r="D53" s="97">
        <f>(40000+50000+29000+50000+30000)*1.03</f>
        <v>204970</v>
      </c>
      <c r="E53" s="97">
        <v>0</v>
      </c>
      <c r="F53" s="98">
        <v>0</v>
      </c>
      <c r="G53" s="225">
        <f t="shared" si="3"/>
        <v>0</v>
      </c>
      <c r="H53" s="224">
        <f t="shared" si="2"/>
        <v>204970</v>
      </c>
    </row>
    <row r="54" spans="1:8" ht="12.75">
      <c r="A54" s="583"/>
      <c r="B54" s="219">
        <v>53214010000000</v>
      </c>
      <c r="C54" s="220" t="s">
        <v>32</v>
      </c>
      <c r="D54" s="99"/>
      <c r="E54" s="99">
        <v>0</v>
      </c>
      <c r="F54" s="96">
        <v>0</v>
      </c>
      <c r="G54" s="225">
        <f t="shared" si="3"/>
        <v>0</v>
      </c>
      <c r="H54" s="224">
        <f t="shared" si="2"/>
        <v>0</v>
      </c>
    </row>
    <row r="55" spans="1:8" ht="12.75">
      <c r="A55" s="583"/>
      <c r="B55" s="219">
        <v>53214040000000</v>
      </c>
      <c r="C55" s="220" t="s">
        <v>140</v>
      </c>
      <c r="D55" s="99">
        <v>0</v>
      </c>
      <c r="E55" s="99">
        <v>0</v>
      </c>
      <c r="F55" s="96">
        <v>0</v>
      </c>
      <c r="G55" s="225">
        <f t="shared" si="3"/>
        <v>0</v>
      </c>
      <c r="H55" s="224">
        <f t="shared" si="2"/>
        <v>0</v>
      </c>
    </row>
    <row r="56" spans="1:8" ht="12.75">
      <c r="A56" s="583"/>
      <c r="B56" s="226">
        <v>53204020100000</v>
      </c>
      <c r="C56" s="220" t="s">
        <v>141</v>
      </c>
      <c r="D56" s="97">
        <f>500000*1.03</f>
        <v>515000</v>
      </c>
      <c r="E56" s="97">
        <v>0</v>
      </c>
      <c r="F56" s="98">
        <v>0</v>
      </c>
      <c r="G56" s="225">
        <f t="shared" si="3"/>
        <v>0</v>
      </c>
      <c r="H56" s="224">
        <f t="shared" si="2"/>
        <v>515000</v>
      </c>
    </row>
    <row r="57" spans="1:8" ht="12.75">
      <c r="A57" s="583"/>
      <c r="B57" s="214"/>
      <c r="C57" s="215" t="s">
        <v>33</v>
      </c>
      <c r="D57" s="216">
        <f>SUM(D58:D65)</f>
        <v>2653307</v>
      </c>
      <c r="E57" s="230"/>
      <c r="F57" s="233"/>
      <c r="G57" s="216">
        <f>SUM(G58:G65)</f>
        <v>776760</v>
      </c>
      <c r="H57" s="218">
        <f>SUM(H58:H65)</f>
        <v>3430067</v>
      </c>
    </row>
    <row r="58" spans="1:8" ht="12.75">
      <c r="A58" s="583"/>
      <c r="B58" s="219">
        <v>53207010000000</v>
      </c>
      <c r="C58" s="220" t="s">
        <v>34</v>
      </c>
      <c r="D58" s="97">
        <v>0</v>
      </c>
      <c r="E58" s="97">
        <v>0</v>
      </c>
      <c r="F58" s="98">
        <v>0</v>
      </c>
      <c r="G58" s="225">
        <f t="shared" si="3"/>
        <v>0</v>
      </c>
      <c r="H58" s="224">
        <f t="shared" si="2"/>
        <v>0</v>
      </c>
    </row>
    <row r="59" spans="1:8" ht="12.75">
      <c r="A59" s="583"/>
      <c r="B59" s="219">
        <v>53207020000000</v>
      </c>
      <c r="C59" s="220" t="s">
        <v>35</v>
      </c>
      <c r="D59" s="97">
        <v>0</v>
      </c>
      <c r="E59" s="97">
        <v>0</v>
      </c>
      <c r="F59" s="98">
        <v>0</v>
      </c>
      <c r="G59" s="225">
        <f>E59*F59</f>
        <v>0</v>
      </c>
      <c r="H59" s="224">
        <f>D59+G59</f>
        <v>0</v>
      </c>
    </row>
    <row r="60" spans="1:8" ht="12.75">
      <c r="A60" s="583"/>
      <c r="B60" s="219">
        <v>53208020000000</v>
      </c>
      <c r="C60" s="220" t="s">
        <v>142</v>
      </c>
      <c r="D60" s="97">
        <v>0</v>
      </c>
      <c r="E60" s="97">
        <v>0</v>
      </c>
      <c r="F60" s="98">
        <v>0</v>
      </c>
      <c r="G60" s="225">
        <f t="shared" si="3"/>
        <v>0</v>
      </c>
      <c r="H60" s="224">
        <f t="shared" si="2"/>
        <v>0</v>
      </c>
    </row>
    <row r="61" spans="1:8" ht="12.75">
      <c r="A61" s="583"/>
      <c r="B61" s="219">
        <v>53208990000000</v>
      </c>
      <c r="C61" s="220" t="s">
        <v>143</v>
      </c>
      <c r="D61" s="97">
        <v>0</v>
      </c>
      <c r="E61" s="97">
        <f>300000*1.03</f>
        <v>309000</v>
      </c>
      <c r="F61" s="98">
        <v>2</v>
      </c>
      <c r="G61" s="225">
        <f t="shared" si="3"/>
        <v>618000</v>
      </c>
      <c r="H61" s="224">
        <f t="shared" si="2"/>
        <v>618000</v>
      </c>
    </row>
    <row r="62" spans="1:8" ht="12.75">
      <c r="A62" s="583"/>
      <c r="B62" s="226">
        <v>53210020300000</v>
      </c>
      <c r="C62" s="220" t="s">
        <v>144</v>
      </c>
      <c r="D62" s="100">
        <v>0</v>
      </c>
      <c r="E62" s="100">
        <v>7560</v>
      </c>
      <c r="F62" s="98">
        <v>21</v>
      </c>
      <c r="G62" s="225">
        <f t="shared" si="3"/>
        <v>158760</v>
      </c>
      <c r="H62" s="224">
        <f t="shared" si="2"/>
        <v>158760</v>
      </c>
    </row>
    <row r="63" spans="1:8" ht="12.75">
      <c r="A63" s="583"/>
      <c r="B63" s="219">
        <v>53208990000000</v>
      </c>
      <c r="C63" s="220" t="s">
        <v>145</v>
      </c>
      <c r="D63" s="97">
        <v>0</v>
      </c>
      <c r="E63" s="97">
        <v>0</v>
      </c>
      <c r="F63" s="98">
        <v>0</v>
      </c>
      <c r="G63" s="225">
        <f t="shared" si="3"/>
        <v>0</v>
      </c>
      <c r="H63" s="224">
        <f t="shared" si="2"/>
        <v>0</v>
      </c>
    </row>
    <row r="64" spans="1:8" ht="12.75">
      <c r="A64" s="583"/>
      <c r="B64" s="219">
        <v>53209990000000</v>
      </c>
      <c r="C64" s="220" t="s">
        <v>146</v>
      </c>
      <c r="D64" s="97">
        <v>0</v>
      </c>
      <c r="E64" s="97">
        <v>0</v>
      </c>
      <c r="F64" s="98">
        <v>0</v>
      </c>
      <c r="G64" s="225">
        <f t="shared" si="3"/>
        <v>0</v>
      </c>
      <c r="H64" s="224">
        <f t="shared" si="2"/>
        <v>0</v>
      </c>
    </row>
    <row r="65" spans="1:8" ht="12.75">
      <c r="A65" s="583"/>
      <c r="B65" s="219">
        <v>53210020100000</v>
      </c>
      <c r="C65" s="220" t="s">
        <v>36</v>
      </c>
      <c r="D65" s="97">
        <v>2653307</v>
      </c>
      <c r="E65" s="97">
        <v>0</v>
      </c>
      <c r="F65" s="98">
        <v>0</v>
      </c>
      <c r="G65" s="225">
        <f t="shared" si="3"/>
        <v>0</v>
      </c>
      <c r="H65" s="224">
        <f t="shared" si="2"/>
        <v>2653307</v>
      </c>
    </row>
    <row r="66" spans="1:8" ht="12.75">
      <c r="A66" s="583"/>
      <c r="B66" s="214"/>
      <c r="C66" s="215" t="s">
        <v>37</v>
      </c>
      <c r="D66" s="216">
        <f>SUM(D67:D73)</f>
        <v>3370185.75</v>
      </c>
      <c r="E66" s="230"/>
      <c r="F66" s="233"/>
      <c r="G66" s="216">
        <f>SUM(G67:G73)</f>
        <v>1495560</v>
      </c>
      <c r="H66" s="218">
        <f>SUM(H67:H73)</f>
        <v>4865745.75</v>
      </c>
    </row>
    <row r="67" spans="1:8" ht="12.75">
      <c r="A67" s="583"/>
      <c r="B67" s="219">
        <v>53206030000000</v>
      </c>
      <c r="C67" s="220" t="s">
        <v>66</v>
      </c>
      <c r="D67" s="97">
        <v>0</v>
      </c>
      <c r="E67" s="97">
        <v>0</v>
      </c>
      <c r="F67" s="98">
        <v>0</v>
      </c>
      <c r="G67" s="225">
        <f t="shared" si="3"/>
        <v>0</v>
      </c>
      <c r="H67" s="224">
        <f t="shared" si="2"/>
        <v>0</v>
      </c>
    </row>
    <row r="68" spans="1:8" ht="12.75">
      <c r="A68" s="583"/>
      <c r="B68" s="219">
        <v>53206040000000</v>
      </c>
      <c r="C68" s="220" t="s">
        <v>67</v>
      </c>
      <c r="D68" s="97">
        <v>0</v>
      </c>
      <c r="E68" s="97">
        <v>0</v>
      </c>
      <c r="F68" s="98">
        <v>0</v>
      </c>
      <c r="G68" s="225">
        <f t="shared" si="3"/>
        <v>0</v>
      </c>
      <c r="H68" s="224">
        <f t="shared" si="2"/>
        <v>0</v>
      </c>
    </row>
    <row r="69" spans="1:8" ht="12.75">
      <c r="A69" s="583"/>
      <c r="B69" s="219">
        <v>53206060000000</v>
      </c>
      <c r="C69" s="220" t="s">
        <v>147</v>
      </c>
      <c r="D69" s="97">
        <v>0</v>
      </c>
      <c r="E69" s="97">
        <v>0</v>
      </c>
      <c r="F69" s="98">
        <v>0</v>
      </c>
      <c r="G69" s="225">
        <f t="shared" si="3"/>
        <v>0</v>
      </c>
      <c r="H69" s="224">
        <f t="shared" si="2"/>
        <v>0</v>
      </c>
    </row>
    <row r="70" spans="1:8" ht="12.75">
      <c r="A70" s="583"/>
      <c r="B70" s="219">
        <v>53206070000000</v>
      </c>
      <c r="C70" s="220" t="s">
        <v>68</v>
      </c>
      <c r="D70" s="97">
        <v>0</v>
      </c>
      <c r="E70" s="97">
        <v>0</v>
      </c>
      <c r="F70" s="98">
        <v>0</v>
      </c>
      <c r="G70" s="225">
        <f t="shared" si="3"/>
        <v>0</v>
      </c>
      <c r="H70" s="224">
        <f t="shared" si="2"/>
        <v>0</v>
      </c>
    </row>
    <row r="71" spans="1:8" ht="12.75">
      <c r="A71" s="583"/>
      <c r="B71" s="219">
        <v>53206990000000</v>
      </c>
      <c r="C71" s="220" t="s">
        <v>148</v>
      </c>
      <c r="D71" s="97">
        <v>0</v>
      </c>
      <c r="E71" s="97">
        <v>0</v>
      </c>
      <c r="F71" s="98">
        <v>0</v>
      </c>
      <c r="G71" s="225">
        <f t="shared" si="3"/>
        <v>0</v>
      </c>
      <c r="H71" s="224">
        <f t="shared" si="2"/>
        <v>0</v>
      </c>
    </row>
    <row r="72" spans="1:8" ht="12.75">
      <c r="A72" s="583"/>
      <c r="B72" s="219">
        <v>53208030000000</v>
      </c>
      <c r="C72" s="220" t="s">
        <v>69</v>
      </c>
      <c r="D72" s="97">
        <v>0</v>
      </c>
      <c r="E72" s="97">
        <f>132000*1.03</f>
        <v>135960</v>
      </c>
      <c r="F72" s="98">
        <v>11</v>
      </c>
      <c r="G72" s="225">
        <f t="shared" si="3"/>
        <v>1495560</v>
      </c>
      <c r="H72" s="224">
        <f t="shared" si="2"/>
        <v>1495560</v>
      </c>
    </row>
    <row r="73" spans="1:8" ht="12.75">
      <c r="A73" s="583"/>
      <c r="B73" s="219">
        <v>53206990000000</v>
      </c>
      <c r="C73" s="220" t="s">
        <v>149</v>
      </c>
      <c r="D73" s="97">
        <f>3272025*1.03</f>
        <v>3370185.75</v>
      </c>
      <c r="E73" s="97">
        <v>0</v>
      </c>
      <c r="F73" s="98">
        <v>0</v>
      </c>
      <c r="G73" s="225">
        <f t="shared" si="3"/>
        <v>0</v>
      </c>
      <c r="H73" s="224">
        <f t="shared" si="2"/>
        <v>3370185.75</v>
      </c>
    </row>
    <row r="74" spans="1:10" ht="12.75">
      <c r="A74" s="583"/>
      <c r="B74" s="214"/>
      <c r="C74" s="215" t="s">
        <v>38</v>
      </c>
      <c r="D74" s="216">
        <f>SUM(D75)</f>
        <v>0</v>
      </c>
      <c r="E74" s="230"/>
      <c r="F74" s="230"/>
      <c r="G74" s="216">
        <f>SUM(G75:G75)</f>
        <v>600000</v>
      </c>
      <c r="H74" s="218">
        <f>SUM(H75:H75)</f>
        <v>600000</v>
      </c>
      <c r="I74" s="235" t="s">
        <v>171</v>
      </c>
      <c r="J74" s="236">
        <f>SUM(H73+H72+H71+H70+H69+H68+H67+H65+H64+H63+H62+H61+H60+H59+H58+H56+H53+H52+H51+H50+H49+H47+H45+H44+H38+H37+H36+H34+H33+H32+H31+H30+H29+H28+H27+H26+H25+H24)</f>
        <v>32327036.205</v>
      </c>
    </row>
    <row r="75" spans="1:10" ht="12.75">
      <c r="A75" s="583"/>
      <c r="B75" s="237"/>
      <c r="C75" s="238" t="s">
        <v>150</v>
      </c>
      <c r="D75" s="90">
        <v>0</v>
      </c>
      <c r="E75" s="90">
        <v>12000</v>
      </c>
      <c r="F75" s="92">
        <v>50</v>
      </c>
      <c r="G75" s="225">
        <f t="shared" si="3"/>
        <v>600000</v>
      </c>
      <c r="H75" s="239">
        <f t="shared" si="2"/>
        <v>600000</v>
      </c>
      <c r="I75" s="240" t="s">
        <v>172</v>
      </c>
      <c r="J75" s="241">
        <f>+H76-J74</f>
        <v>164977256.76</v>
      </c>
    </row>
    <row r="76" spans="1:8" s="71" customFormat="1" ht="15.75" collapsed="1">
      <c r="A76" s="584"/>
      <c r="B76" s="113"/>
      <c r="C76" s="114" t="s">
        <v>70</v>
      </c>
      <c r="D76" s="115">
        <f>SUM(D13,D40)</f>
        <v>189475877.11499998</v>
      </c>
      <c r="E76" s="116"/>
      <c r="F76" s="116"/>
      <c r="G76" s="115">
        <f>SUM(G13,G40)</f>
        <v>3814227.9</v>
      </c>
      <c r="H76" s="115">
        <f>SUM(H13,H40)</f>
        <v>197304292.96499997</v>
      </c>
    </row>
    <row r="81" ht="12.75">
      <c r="D81" s="47"/>
    </row>
    <row r="83" spans="2:8" ht="12.75">
      <c r="B83" s="20"/>
      <c r="C83" s="51"/>
      <c r="D83" s="16"/>
      <c r="E83" s="52"/>
      <c r="F83" s="53"/>
      <c r="G83" s="52"/>
      <c r="H83" s="56"/>
    </row>
    <row r="84" spans="2:8" ht="12.75">
      <c r="B84" s="20"/>
      <c r="C84" s="51"/>
      <c r="D84" s="16"/>
      <c r="E84" s="52"/>
      <c r="F84" s="53"/>
      <c r="G84" s="52"/>
      <c r="H84" s="56"/>
    </row>
    <row r="85" spans="2:8" ht="12.75">
      <c r="B85" s="20"/>
      <c r="C85" s="51"/>
      <c r="E85" s="52"/>
      <c r="F85" s="53"/>
      <c r="G85" s="52"/>
      <c r="H85" s="56"/>
    </row>
    <row r="86" spans="2:8" ht="12.75">
      <c r="B86" s="20"/>
      <c r="C86" s="51"/>
      <c r="D86" s="16"/>
      <c r="E86" s="52"/>
      <c r="F86" s="53"/>
      <c r="G86" s="52"/>
      <c r="H86" s="56"/>
    </row>
    <row r="87" spans="2:8" ht="12.75">
      <c r="B87" s="20"/>
      <c r="C87" s="51"/>
      <c r="E87" s="52"/>
      <c r="F87" s="53"/>
      <c r="G87" s="52"/>
      <c r="H87" s="56"/>
    </row>
    <row r="88" spans="2:8" ht="12.75">
      <c r="B88" s="20"/>
      <c r="C88" s="51"/>
      <c r="D88" s="16"/>
      <c r="E88" s="52"/>
      <c r="F88" s="53"/>
      <c r="G88" s="52"/>
      <c r="H88" s="56"/>
    </row>
    <row r="89" spans="2:8" ht="12.75">
      <c r="B89" s="20"/>
      <c r="E89" s="52"/>
      <c r="F89" s="53"/>
      <c r="G89" s="52"/>
      <c r="H89" s="56"/>
    </row>
    <row r="90" spans="2:8" ht="12.75">
      <c r="B90" s="20"/>
      <c r="E90" s="52"/>
      <c r="F90" s="53"/>
      <c r="G90" s="52"/>
      <c r="H90" s="56"/>
    </row>
    <row r="91" spans="2:8" ht="12.75">
      <c r="B91" s="20"/>
      <c r="E91" s="55"/>
      <c r="F91" s="55"/>
      <c r="G91" s="54"/>
      <c r="H91" s="57"/>
    </row>
  </sheetData>
  <sheetProtection password="9C6E" sheet="1"/>
  <mergeCells count="9">
    <mergeCell ref="A12:A76"/>
    <mergeCell ref="D4:E4"/>
    <mergeCell ref="H10:H11"/>
    <mergeCell ref="C10:C11"/>
    <mergeCell ref="B10:B11"/>
    <mergeCell ref="A10:A11"/>
    <mergeCell ref="E10:G10"/>
    <mergeCell ref="D10:D11"/>
    <mergeCell ref="A8:C8"/>
  </mergeCells>
  <printOptions/>
  <pageMargins left="0.85" right="0.75" top="0.5701388888888889" bottom="0.9097222222222222" header="0" footer="0.5118055555555555"/>
  <pageSetup fitToHeight="12" fitToWidth="1" horizontalDpi="300" verticalDpi="300" orientation="landscape" r:id="rId1"/>
  <headerFooter alignWithMargins="0">
    <oddHeader>&amp;LSEPT - 2004&amp;CDIRECTIVA D.B.S.A.ORDINARIO&amp;R02-BS/0307/02pag &amp;P de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M48"/>
  <sheetViews>
    <sheetView showGridLines="0" zoomScale="96" zoomScaleNormal="96" zoomScalePageLayoutView="0" workbookViewId="0" topLeftCell="A1">
      <selection activeCell="A12" sqref="A12"/>
    </sheetView>
  </sheetViews>
  <sheetFormatPr defaultColWidth="11.421875" defaultRowHeight="12.75"/>
  <cols>
    <col min="1" max="1" width="20.00390625" style="3" customWidth="1"/>
    <col min="2" max="2" width="25.140625" style="3" customWidth="1"/>
    <col min="3" max="3" width="20.8515625" style="3" bestFit="1" customWidth="1"/>
    <col min="4" max="4" width="19.28125" style="3" customWidth="1"/>
    <col min="5" max="5" width="18.8515625" style="3" customWidth="1"/>
    <col min="6" max="6" width="18.00390625" style="3" customWidth="1"/>
    <col min="7" max="9" width="18.28125" style="3" customWidth="1"/>
    <col min="10" max="10" width="18.140625" style="3" bestFit="1" customWidth="1"/>
    <col min="11" max="11" width="18.7109375" style="3" bestFit="1" customWidth="1"/>
    <col min="12" max="12" width="16.421875" style="3" bestFit="1" customWidth="1"/>
    <col min="13" max="15" width="17.57421875" style="3" customWidth="1"/>
    <col min="16" max="16" width="15.7109375" style="3" customWidth="1"/>
    <col min="17" max="17" width="16.421875" style="3" bestFit="1" customWidth="1"/>
    <col min="18" max="18" width="15.8515625" style="3" customWidth="1"/>
    <col min="19" max="16384" width="11.421875" style="3" customWidth="1"/>
  </cols>
  <sheetData>
    <row r="1" spans="1:247" s="5" customFormat="1" ht="12.75">
      <c r="A1" s="4"/>
      <c r="C1" s="6"/>
      <c r="D1" s="6"/>
      <c r="E1" s="47" t="s">
        <v>101</v>
      </c>
      <c r="F1" s="6"/>
      <c r="G1" s="6"/>
      <c r="H1" s="6"/>
      <c r="I1" s="6"/>
      <c r="IL1" s="3"/>
      <c r="IM1" s="3"/>
    </row>
    <row r="2" spans="1:247" s="5" customFormat="1" ht="12.75">
      <c r="A2" s="7"/>
      <c r="C2" s="6"/>
      <c r="D2" s="6"/>
      <c r="E2" s="47" t="s">
        <v>88</v>
      </c>
      <c r="F2" s="6"/>
      <c r="G2" s="6"/>
      <c r="H2" s="6"/>
      <c r="I2" s="6"/>
      <c r="L2" s="6"/>
      <c r="M2" s="6"/>
      <c r="N2" s="6"/>
      <c r="O2" s="6"/>
      <c r="IL2" s="3"/>
      <c r="IM2" s="3"/>
    </row>
    <row r="3" spans="1:247" s="5" customFormat="1" ht="12.75">
      <c r="A3" s="3"/>
      <c r="IL3" s="3"/>
      <c r="IM3" s="3"/>
    </row>
    <row r="4" spans="1:242" s="5" customFormat="1" ht="18.75" customHeight="1">
      <c r="A4" s="20"/>
      <c r="B4" s="21"/>
      <c r="C4" s="612" t="s">
        <v>0</v>
      </c>
      <c r="D4" s="612"/>
      <c r="E4" s="613" t="str">
        <f>+'A) Reajuste Tarifas y Ocupación'!D9</f>
        <v>BIENVALP</v>
      </c>
      <c r="F4" s="614"/>
      <c r="L4" s="2"/>
      <c r="IC4" s="3"/>
      <c r="ID4" s="3"/>
      <c r="IE4" s="3"/>
      <c r="IF4" s="3"/>
      <c r="IG4" s="3"/>
      <c r="IH4" s="3"/>
    </row>
    <row r="5" spans="1:242" s="5" customFormat="1" ht="12.75">
      <c r="A5" s="3"/>
      <c r="B5" s="3"/>
      <c r="C5" s="3"/>
      <c r="D5" s="3"/>
      <c r="E5" s="3"/>
      <c r="F5" s="8"/>
      <c r="G5" s="74"/>
      <c r="H5" s="74"/>
      <c r="I5" s="74"/>
      <c r="J5" s="6"/>
      <c r="K5" s="6"/>
      <c r="L5" s="2"/>
      <c r="IC5" s="3"/>
      <c r="ID5" s="3"/>
      <c r="IE5" s="3"/>
      <c r="IF5" s="3"/>
      <c r="IG5" s="3"/>
      <c r="IH5" s="3"/>
    </row>
    <row r="6" spans="1:242" s="5" customFormat="1" ht="12.75">
      <c r="A6" s="617" t="s">
        <v>108</v>
      </c>
      <c r="B6" s="617"/>
      <c r="C6" s="617"/>
      <c r="D6" s="617"/>
      <c r="E6" s="3"/>
      <c r="F6" s="8"/>
      <c r="G6" s="74"/>
      <c r="H6" s="74"/>
      <c r="I6" s="74"/>
      <c r="J6" s="6"/>
      <c r="K6" s="6"/>
      <c r="L6" s="2"/>
      <c r="IC6" s="3"/>
      <c r="ID6" s="3"/>
      <c r="IE6" s="3"/>
      <c r="IF6" s="3"/>
      <c r="IG6" s="3"/>
      <c r="IH6" s="3"/>
    </row>
    <row r="7" spans="2:15" ht="13.5" thickBot="1">
      <c r="B7" s="50"/>
      <c r="C7" s="50"/>
      <c r="E7" s="50"/>
      <c r="F7" s="50"/>
      <c r="G7" s="50"/>
      <c r="H7" s="50"/>
      <c r="I7" s="50"/>
      <c r="J7" s="50"/>
      <c r="M7" s="58"/>
      <c r="N7" s="58"/>
      <c r="O7" s="58"/>
    </row>
    <row r="8" spans="1:15" ht="39" customHeight="1">
      <c r="A8" s="118" t="s">
        <v>79</v>
      </c>
      <c r="B8" s="252" t="s">
        <v>168</v>
      </c>
      <c r="C8" s="252" t="str">
        <f>N16</f>
        <v>Ingreso por Matrícula</v>
      </c>
      <c r="D8" s="252" t="str">
        <f>O16</f>
        <v>Ingreso por Mensualidad</v>
      </c>
      <c r="E8" s="252" t="s">
        <v>89</v>
      </c>
      <c r="F8" s="253" t="s">
        <v>51</v>
      </c>
      <c r="G8" s="257" t="s">
        <v>48</v>
      </c>
      <c r="H8" s="257" t="s">
        <v>49</v>
      </c>
      <c r="I8" s="257" t="s">
        <v>72</v>
      </c>
      <c r="J8" s="258" t="s">
        <v>78</v>
      </c>
      <c r="M8" s="18"/>
      <c r="N8" s="18"/>
      <c r="O8" s="18"/>
    </row>
    <row r="9" spans="1:15" ht="21" customHeight="1" thickBot="1">
      <c r="A9" s="250" t="str">
        <f>+'A) Reajuste Tarifas y Ocupación'!A16</f>
        <v>DALEGRÍA</v>
      </c>
      <c r="B9" s="340">
        <f>'G) Detalle Datos'!C13</f>
        <v>109975285.49000001</v>
      </c>
      <c r="C9" s="254">
        <f>+N48</f>
        <v>3814400</v>
      </c>
      <c r="D9" s="254">
        <f>+O48</f>
        <v>38144000</v>
      </c>
      <c r="E9" s="254">
        <f>+P48</f>
        <v>0</v>
      </c>
      <c r="F9" s="255">
        <f>SUM(B9:E9)</f>
        <v>151933685.49</v>
      </c>
      <c r="G9" s="254">
        <f>+'D) Estimación Costos'!H76</f>
        <v>197304292.96499997</v>
      </c>
      <c r="H9" s="256"/>
      <c r="I9" s="255">
        <f>+G9+H9</f>
        <v>197304292.96499997</v>
      </c>
      <c r="J9" s="249">
        <f>F9-I9</f>
        <v>-45370607.474999964</v>
      </c>
      <c r="M9" s="251"/>
      <c r="N9" s="251"/>
      <c r="O9" s="251"/>
    </row>
    <row r="10" spans="1:242" s="5" customFormat="1" ht="15.75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IB10" s="3"/>
      <c r="IC10" s="3"/>
      <c r="ID10" s="3"/>
      <c r="IE10" s="3"/>
      <c r="IF10" s="3"/>
      <c r="IG10" s="3"/>
      <c r="IH10" s="3"/>
    </row>
    <row r="11" spans="1:242" s="5" customFormat="1" ht="15.75" customHeight="1">
      <c r="A11" s="10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IB11" s="3"/>
      <c r="IC11" s="3"/>
      <c r="ID11" s="3"/>
      <c r="IE11" s="3"/>
      <c r="IF11" s="3"/>
      <c r="IG11" s="3"/>
      <c r="IH11" s="3"/>
    </row>
    <row r="12" spans="1:242" s="5" customFormat="1" ht="15.75" customHeight="1">
      <c r="A12" s="10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IB12" s="3"/>
      <c r="IC12" s="3"/>
      <c r="ID12" s="3"/>
      <c r="IE12" s="3"/>
      <c r="IF12" s="3"/>
      <c r="IG12" s="3"/>
      <c r="IH12" s="3"/>
    </row>
    <row r="13" spans="1:242" s="5" customFormat="1" ht="15.75" customHeight="1">
      <c r="A13" s="10"/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IB13" s="3"/>
      <c r="IC13" s="3"/>
      <c r="ID13" s="3"/>
      <c r="IE13" s="3"/>
      <c r="IF13" s="3"/>
      <c r="IG13" s="3"/>
      <c r="IH13" s="3"/>
    </row>
    <row r="14" spans="1:242" s="5" customFormat="1" ht="15.75" customHeight="1">
      <c r="A14" s="617" t="s">
        <v>98</v>
      </c>
      <c r="B14" s="617"/>
      <c r="C14" s="617"/>
      <c r="D14" s="61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IB14" s="3"/>
      <c r="IC14" s="3"/>
      <c r="ID14" s="3"/>
      <c r="IE14" s="3"/>
      <c r="IF14" s="3"/>
      <c r="IG14" s="3"/>
      <c r="IH14" s="3"/>
    </row>
    <row r="15" spans="2:247" s="12" customFormat="1" ht="13.5" thickBot="1">
      <c r="B15" s="50"/>
      <c r="C15" s="50"/>
      <c r="D15" s="5"/>
      <c r="E15" s="5"/>
      <c r="F15" s="5"/>
      <c r="G15" s="5"/>
      <c r="H15" s="5"/>
      <c r="I15" s="273"/>
      <c r="J15" s="273"/>
      <c r="K15" s="273"/>
      <c r="L15" s="2"/>
      <c r="M15" s="2"/>
      <c r="N15" s="5"/>
      <c r="O15" s="274"/>
      <c r="P15" s="13"/>
      <c r="IL15" s="9"/>
      <c r="IM15" s="9"/>
    </row>
    <row r="16" spans="1:17" s="14" customFormat="1" ht="15.75" customHeight="1">
      <c r="A16" s="618" t="s">
        <v>79</v>
      </c>
      <c r="B16" s="526" t="s">
        <v>4</v>
      </c>
      <c r="C16" s="615" t="s">
        <v>1</v>
      </c>
      <c r="D16" s="621" t="s">
        <v>156</v>
      </c>
      <c r="E16" s="622"/>
      <c r="F16" s="622"/>
      <c r="G16" s="622"/>
      <c r="H16" s="623"/>
      <c r="I16" s="603" t="s">
        <v>157</v>
      </c>
      <c r="J16" s="604"/>
      <c r="K16" s="604"/>
      <c r="L16" s="604"/>
      <c r="M16" s="605"/>
      <c r="N16" s="606" t="s">
        <v>60</v>
      </c>
      <c r="O16" s="604" t="s">
        <v>61</v>
      </c>
      <c r="P16" s="610" t="s">
        <v>89</v>
      </c>
      <c r="Q16" s="604" t="s">
        <v>71</v>
      </c>
    </row>
    <row r="17" spans="1:17" s="14" customFormat="1" ht="54" customHeight="1">
      <c r="A17" s="619"/>
      <c r="B17" s="620"/>
      <c r="C17" s="616"/>
      <c r="D17" s="275" t="s">
        <v>152</v>
      </c>
      <c r="E17" s="276" t="s">
        <v>167</v>
      </c>
      <c r="F17" s="276" t="s">
        <v>153</v>
      </c>
      <c r="G17" s="276" t="s">
        <v>154</v>
      </c>
      <c r="H17" s="277" t="s">
        <v>155</v>
      </c>
      <c r="I17" s="278" t="s">
        <v>152</v>
      </c>
      <c r="J17" s="276" t="s">
        <v>167</v>
      </c>
      <c r="K17" s="276" t="s">
        <v>153</v>
      </c>
      <c r="L17" s="276" t="s">
        <v>154</v>
      </c>
      <c r="M17" s="279" t="s">
        <v>155</v>
      </c>
      <c r="N17" s="607"/>
      <c r="O17" s="608"/>
      <c r="P17" s="611"/>
      <c r="Q17" s="608"/>
    </row>
    <row r="18" spans="1:17" ht="12.75" customHeight="1">
      <c r="A18" s="624" t="str">
        <f>+'A) Reajuste Tarifas y Ocupación'!A16</f>
        <v>DALEGRÍA</v>
      </c>
      <c r="B18" s="626" t="str">
        <f>+'A) Reajuste Tarifas y Ocupación'!B16</f>
        <v>Jornada Completa</v>
      </c>
      <c r="C18" s="248" t="s">
        <v>165</v>
      </c>
      <c r="D18" s="280">
        <f>+I18</f>
        <v>83600</v>
      </c>
      <c r="E18" s="243">
        <f aca="true" t="shared" si="0" ref="E18:H19">+J18</f>
        <v>119800</v>
      </c>
      <c r="F18" s="243">
        <f t="shared" si="0"/>
        <v>119100</v>
      </c>
      <c r="G18" s="243">
        <f t="shared" si="0"/>
        <v>119100</v>
      </c>
      <c r="H18" s="281">
        <f t="shared" si="0"/>
        <v>158900</v>
      </c>
      <c r="I18" s="245">
        <f>'A) Reajuste Tarifas y Ocupación'!M16</f>
        <v>83600</v>
      </c>
      <c r="J18" s="243">
        <f>'A) Reajuste Tarifas y Ocupación'!N16</f>
        <v>119800</v>
      </c>
      <c r="K18" s="243">
        <f>'A) Reajuste Tarifas y Ocupación'!O16</f>
        <v>119100</v>
      </c>
      <c r="L18" s="243">
        <f>'A) Reajuste Tarifas y Ocupación'!P16</f>
        <v>119100</v>
      </c>
      <c r="M18" s="246">
        <f>'A) Reajuste Tarifas y Ocupación'!Q16</f>
        <v>158900</v>
      </c>
      <c r="N18" s="601"/>
      <c r="O18" s="600"/>
      <c r="P18" s="286">
        <f>+'A) Reajuste Tarifas y Ocupación'!C16</f>
        <v>83600</v>
      </c>
      <c r="Q18" s="609"/>
    </row>
    <row r="19" spans="1:17" ht="12.75">
      <c r="A19" s="624"/>
      <c r="B19" s="626"/>
      <c r="C19" s="248" t="s">
        <v>6</v>
      </c>
      <c r="D19" s="282">
        <f>+I19</f>
        <v>2</v>
      </c>
      <c r="E19" s="244">
        <f t="shared" si="0"/>
        <v>2</v>
      </c>
      <c r="F19" s="244">
        <f t="shared" si="0"/>
        <v>0</v>
      </c>
      <c r="G19" s="244">
        <f t="shared" si="0"/>
        <v>0</v>
      </c>
      <c r="H19" s="283">
        <f t="shared" si="0"/>
        <v>0</v>
      </c>
      <c r="I19" s="284">
        <f>'A) Reajuste Tarifas y Ocupación'!C37</f>
        <v>2</v>
      </c>
      <c r="J19" s="244">
        <f>'A) Reajuste Tarifas y Ocupación'!D37</f>
        <v>2</v>
      </c>
      <c r="K19" s="244">
        <f>'A) Reajuste Tarifas y Ocupación'!E37</f>
        <v>0</v>
      </c>
      <c r="L19" s="244">
        <f>'A) Reajuste Tarifas y Ocupación'!F37</f>
        <v>0</v>
      </c>
      <c r="M19" s="285">
        <f>'A) Reajuste Tarifas y Ocupación'!G37</f>
        <v>0</v>
      </c>
      <c r="N19" s="601"/>
      <c r="O19" s="600"/>
      <c r="P19" s="247">
        <v>0</v>
      </c>
      <c r="Q19" s="609"/>
    </row>
    <row r="20" spans="1:17" ht="12.75">
      <c r="A20" s="624"/>
      <c r="B20" s="626"/>
      <c r="C20" s="259" t="s">
        <v>7</v>
      </c>
      <c r="D20" s="260">
        <f>D19*D18</f>
        <v>167200</v>
      </c>
      <c r="E20" s="261">
        <f>E19*E18</f>
        <v>239600</v>
      </c>
      <c r="F20" s="261">
        <f>F19*F18</f>
        <v>0</v>
      </c>
      <c r="G20" s="261">
        <f>G19*G18</f>
        <v>0</v>
      </c>
      <c r="H20" s="262">
        <f>H19*H18</f>
        <v>0</v>
      </c>
      <c r="I20" s="263">
        <f>I19*I18*10</f>
        <v>1672000</v>
      </c>
      <c r="J20" s="261">
        <f>J19*J18*10</f>
        <v>2396000</v>
      </c>
      <c r="K20" s="261">
        <f>K19*K18*10</f>
        <v>0</v>
      </c>
      <c r="L20" s="261">
        <f>L19*L18*10</f>
        <v>0</v>
      </c>
      <c r="M20" s="264">
        <f>M19*M18*10</f>
        <v>0</v>
      </c>
      <c r="N20" s="260">
        <f>SUM(D20:H20)</f>
        <v>406800</v>
      </c>
      <c r="O20" s="261">
        <f>SUM(I20:M20)</f>
        <v>4068000</v>
      </c>
      <c r="P20" s="262">
        <f>P19*P18</f>
        <v>0</v>
      </c>
      <c r="Q20" s="265">
        <f>SUM(N20:P20)</f>
        <v>4474800</v>
      </c>
    </row>
    <row r="21" spans="1:17" ht="12.75">
      <c r="A21" s="624"/>
      <c r="B21" s="626" t="str">
        <f>+'A) Reajuste Tarifas y Ocupación'!B17</f>
        <v>Media Extendida (modalidad escolar)</v>
      </c>
      <c r="C21" s="248" t="s">
        <v>165</v>
      </c>
      <c r="D21" s="280">
        <f aca="true" t="shared" si="1" ref="D21:H22">+I21</f>
        <v>66300</v>
      </c>
      <c r="E21" s="243">
        <f t="shared" si="1"/>
        <v>88600</v>
      </c>
      <c r="F21" s="243">
        <f t="shared" si="1"/>
        <v>88900</v>
      </c>
      <c r="G21" s="243">
        <f t="shared" si="1"/>
        <v>88900</v>
      </c>
      <c r="H21" s="281">
        <f t="shared" si="1"/>
        <v>121900</v>
      </c>
      <c r="I21" s="245">
        <f>'A) Reajuste Tarifas y Ocupación'!M17</f>
        <v>66300</v>
      </c>
      <c r="J21" s="243">
        <f>'A) Reajuste Tarifas y Ocupación'!N17</f>
        <v>88600</v>
      </c>
      <c r="K21" s="243">
        <f>'A) Reajuste Tarifas y Ocupación'!O17</f>
        <v>88900</v>
      </c>
      <c r="L21" s="243">
        <f>'A) Reajuste Tarifas y Ocupación'!P17</f>
        <v>88900</v>
      </c>
      <c r="M21" s="246">
        <f>'A) Reajuste Tarifas y Ocupación'!Q17</f>
        <v>121900</v>
      </c>
      <c r="N21" s="601"/>
      <c r="O21" s="600"/>
      <c r="P21" s="286">
        <f>+'A) Reajuste Tarifas y Ocupación'!C17</f>
        <v>66300</v>
      </c>
      <c r="Q21" s="609"/>
    </row>
    <row r="22" spans="1:17" ht="12.75">
      <c r="A22" s="624"/>
      <c r="B22" s="626"/>
      <c r="C22" s="248" t="s">
        <v>6</v>
      </c>
      <c r="D22" s="282">
        <f t="shared" si="1"/>
        <v>2</v>
      </c>
      <c r="E22" s="244">
        <f t="shared" si="1"/>
        <v>4</v>
      </c>
      <c r="F22" s="244">
        <f t="shared" si="1"/>
        <v>0</v>
      </c>
      <c r="G22" s="244">
        <f t="shared" si="1"/>
        <v>0</v>
      </c>
      <c r="H22" s="283">
        <f t="shared" si="1"/>
        <v>5</v>
      </c>
      <c r="I22" s="284">
        <f>'A) Reajuste Tarifas y Ocupación'!C38</f>
        <v>2</v>
      </c>
      <c r="J22" s="244">
        <f>'A) Reajuste Tarifas y Ocupación'!D38</f>
        <v>4</v>
      </c>
      <c r="K22" s="244">
        <f>'A) Reajuste Tarifas y Ocupación'!E38</f>
        <v>0</v>
      </c>
      <c r="L22" s="244">
        <f>'A) Reajuste Tarifas y Ocupación'!F38</f>
        <v>0</v>
      </c>
      <c r="M22" s="285">
        <f>'A) Reajuste Tarifas y Ocupación'!G38</f>
        <v>5</v>
      </c>
      <c r="N22" s="601"/>
      <c r="O22" s="600"/>
      <c r="P22" s="247">
        <v>0</v>
      </c>
      <c r="Q22" s="609"/>
    </row>
    <row r="23" spans="1:17" ht="12.75">
      <c r="A23" s="624"/>
      <c r="B23" s="626"/>
      <c r="C23" s="259" t="s">
        <v>7</v>
      </c>
      <c r="D23" s="260">
        <f>D22*D21</f>
        <v>132600</v>
      </c>
      <c r="E23" s="261">
        <f>E22*E21</f>
        <v>354400</v>
      </c>
      <c r="F23" s="261">
        <f>F22*F21</f>
        <v>0</v>
      </c>
      <c r="G23" s="261">
        <f>G22*G21</f>
        <v>0</v>
      </c>
      <c r="H23" s="262">
        <f>H22*H21</f>
        <v>609500</v>
      </c>
      <c r="I23" s="263">
        <f>I22*I21*10</f>
        <v>1326000</v>
      </c>
      <c r="J23" s="261">
        <f>J22*J21*10</f>
        <v>3544000</v>
      </c>
      <c r="K23" s="261">
        <f>K22*K21*10</f>
        <v>0</v>
      </c>
      <c r="L23" s="261">
        <f>L22*L21*10</f>
        <v>0</v>
      </c>
      <c r="M23" s="264">
        <f>M22*M21*10</f>
        <v>6095000</v>
      </c>
      <c r="N23" s="260">
        <f>SUM(D23:H23)</f>
        <v>1096500</v>
      </c>
      <c r="O23" s="261">
        <f>SUM(I23:M23)</f>
        <v>10965000</v>
      </c>
      <c r="P23" s="262">
        <f>P22*P21</f>
        <v>0</v>
      </c>
      <c r="Q23" s="265">
        <f>SUM(N23:P23)</f>
        <v>12061500</v>
      </c>
    </row>
    <row r="24" spans="1:17" ht="12.75">
      <c r="A24" s="624"/>
      <c r="B24" s="626" t="str">
        <f>+'A) Reajuste Tarifas y Ocupación'!B18</f>
        <v>Jornada Completa (modalidad escolar)</v>
      </c>
      <c r="C24" s="248" t="s">
        <v>165</v>
      </c>
      <c r="D24" s="280">
        <f aca="true" t="shared" si="2" ref="D24:H25">+I24</f>
        <v>92900</v>
      </c>
      <c r="E24" s="243">
        <f t="shared" si="2"/>
        <v>130200</v>
      </c>
      <c r="F24" s="243">
        <f t="shared" si="2"/>
        <v>130400</v>
      </c>
      <c r="G24" s="243">
        <f t="shared" si="2"/>
        <v>130400</v>
      </c>
      <c r="H24" s="281">
        <f t="shared" si="2"/>
        <v>161800</v>
      </c>
      <c r="I24" s="245">
        <f>'A) Reajuste Tarifas y Ocupación'!M18</f>
        <v>92900</v>
      </c>
      <c r="J24" s="243">
        <f>'A) Reajuste Tarifas y Ocupación'!N18</f>
        <v>130200</v>
      </c>
      <c r="K24" s="243">
        <f>'A) Reajuste Tarifas y Ocupación'!O18</f>
        <v>130400</v>
      </c>
      <c r="L24" s="243">
        <f>'A) Reajuste Tarifas y Ocupación'!P18</f>
        <v>130400</v>
      </c>
      <c r="M24" s="246">
        <f>'A) Reajuste Tarifas y Ocupación'!Q18</f>
        <v>161800</v>
      </c>
      <c r="N24" s="601"/>
      <c r="O24" s="600"/>
      <c r="P24" s="286">
        <f>+'A) Reajuste Tarifas y Ocupación'!C18</f>
        <v>92900</v>
      </c>
      <c r="Q24" s="609"/>
    </row>
    <row r="25" spans="1:17" ht="12.75">
      <c r="A25" s="624"/>
      <c r="B25" s="626"/>
      <c r="C25" s="248" t="s">
        <v>6</v>
      </c>
      <c r="D25" s="282">
        <f t="shared" si="2"/>
        <v>1</v>
      </c>
      <c r="E25" s="244">
        <f t="shared" si="2"/>
        <v>3</v>
      </c>
      <c r="F25" s="244">
        <f t="shared" si="2"/>
        <v>0</v>
      </c>
      <c r="G25" s="244">
        <f t="shared" si="2"/>
        <v>0</v>
      </c>
      <c r="H25" s="283">
        <f t="shared" si="2"/>
        <v>1</v>
      </c>
      <c r="I25" s="284">
        <f>'A) Reajuste Tarifas y Ocupación'!C39</f>
        <v>1</v>
      </c>
      <c r="J25" s="244">
        <f>'A) Reajuste Tarifas y Ocupación'!D39</f>
        <v>3</v>
      </c>
      <c r="K25" s="244">
        <f>'A) Reajuste Tarifas y Ocupación'!E39</f>
        <v>0</v>
      </c>
      <c r="L25" s="244">
        <f>'A) Reajuste Tarifas y Ocupación'!F39</f>
        <v>0</v>
      </c>
      <c r="M25" s="285">
        <f>'A) Reajuste Tarifas y Ocupación'!G39</f>
        <v>1</v>
      </c>
      <c r="N25" s="601"/>
      <c r="O25" s="600"/>
      <c r="P25" s="247">
        <v>0</v>
      </c>
      <c r="Q25" s="609"/>
    </row>
    <row r="26" spans="1:17" ht="12.75">
      <c r="A26" s="624"/>
      <c r="B26" s="626"/>
      <c r="C26" s="259" t="s">
        <v>7</v>
      </c>
      <c r="D26" s="260">
        <f>D25*D24</f>
        <v>92900</v>
      </c>
      <c r="E26" s="261">
        <f>E25*E24</f>
        <v>390600</v>
      </c>
      <c r="F26" s="261">
        <f>F25*F24</f>
        <v>0</v>
      </c>
      <c r="G26" s="261">
        <f>G25*G24</f>
        <v>0</v>
      </c>
      <c r="H26" s="262">
        <f>H25*H24</f>
        <v>161800</v>
      </c>
      <c r="I26" s="263">
        <f>I25*I24*10</f>
        <v>929000</v>
      </c>
      <c r="J26" s="261">
        <f>J25*J24*10</f>
        <v>3906000</v>
      </c>
      <c r="K26" s="261">
        <f>K25*K24*10</f>
        <v>0</v>
      </c>
      <c r="L26" s="261">
        <f>L25*L24*10</f>
        <v>0</v>
      </c>
      <c r="M26" s="264">
        <f>M25*M24*10</f>
        <v>1618000</v>
      </c>
      <c r="N26" s="260">
        <f>SUM(D26:H26)</f>
        <v>645300</v>
      </c>
      <c r="O26" s="261">
        <f>SUM(I26:M26)</f>
        <v>6453000</v>
      </c>
      <c r="P26" s="262">
        <f>P25*P24</f>
        <v>0</v>
      </c>
      <c r="Q26" s="265">
        <f>SUM(N26:P26)</f>
        <v>7098300</v>
      </c>
    </row>
    <row r="27" spans="1:17" ht="12.75">
      <c r="A27" s="624"/>
      <c r="B27" s="626" t="str">
        <f>+'A) Reajuste Tarifas y Ocupación'!B19</f>
        <v>Programa Especial (ambulatorio)</v>
      </c>
      <c r="C27" s="248" t="s">
        <v>165</v>
      </c>
      <c r="D27" s="280">
        <f aca="true" t="shared" si="3" ref="D27:H28">+I27</f>
        <v>58400</v>
      </c>
      <c r="E27" s="243">
        <f t="shared" si="3"/>
        <v>88600</v>
      </c>
      <c r="F27" s="243">
        <f t="shared" si="3"/>
        <v>88900</v>
      </c>
      <c r="G27" s="243">
        <f t="shared" si="3"/>
        <v>88900</v>
      </c>
      <c r="H27" s="281">
        <f t="shared" si="3"/>
        <v>115200</v>
      </c>
      <c r="I27" s="245">
        <f>+'A) Reajuste Tarifas y Ocupación'!M19</f>
        <v>58400</v>
      </c>
      <c r="J27" s="243">
        <f>+'A) Reajuste Tarifas y Ocupación'!N19</f>
        <v>88600</v>
      </c>
      <c r="K27" s="243">
        <f>+'A) Reajuste Tarifas y Ocupación'!O19</f>
        <v>88900</v>
      </c>
      <c r="L27" s="243">
        <f>+'A) Reajuste Tarifas y Ocupación'!P19</f>
        <v>88900</v>
      </c>
      <c r="M27" s="246">
        <f>+'A) Reajuste Tarifas y Ocupación'!Q19</f>
        <v>115200</v>
      </c>
      <c r="N27" s="601"/>
      <c r="O27" s="600"/>
      <c r="P27" s="600"/>
      <c r="Q27" s="609"/>
    </row>
    <row r="28" spans="1:17" ht="12.75">
      <c r="A28" s="624"/>
      <c r="B28" s="626"/>
      <c r="C28" s="248" t="s">
        <v>6</v>
      </c>
      <c r="D28" s="282">
        <f t="shared" si="3"/>
        <v>22</v>
      </c>
      <c r="E28" s="244">
        <f t="shared" si="3"/>
        <v>3</v>
      </c>
      <c r="F28" s="244">
        <f t="shared" si="3"/>
        <v>0</v>
      </c>
      <c r="G28" s="244">
        <f t="shared" si="3"/>
        <v>0</v>
      </c>
      <c r="H28" s="283">
        <f t="shared" si="3"/>
        <v>1</v>
      </c>
      <c r="I28" s="284">
        <f>'A) Reajuste Tarifas y Ocupación'!C40</f>
        <v>22</v>
      </c>
      <c r="J28" s="244">
        <f>'A) Reajuste Tarifas y Ocupación'!D40</f>
        <v>3</v>
      </c>
      <c r="K28" s="244">
        <f>'A) Reajuste Tarifas y Ocupación'!E40</f>
        <v>0</v>
      </c>
      <c r="L28" s="244">
        <f>'A) Reajuste Tarifas y Ocupación'!F40</f>
        <v>0</v>
      </c>
      <c r="M28" s="285">
        <f>'A) Reajuste Tarifas y Ocupación'!G40</f>
        <v>1</v>
      </c>
      <c r="N28" s="601"/>
      <c r="O28" s="600"/>
      <c r="P28" s="600"/>
      <c r="Q28" s="609"/>
    </row>
    <row r="29" spans="1:18" ht="12.75">
      <c r="A29" s="624"/>
      <c r="B29" s="626"/>
      <c r="C29" s="259" t="s">
        <v>7</v>
      </c>
      <c r="D29" s="260">
        <f>D28*D27</f>
        <v>1284800</v>
      </c>
      <c r="E29" s="261">
        <f>E28*E27</f>
        <v>265800</v>
      </c>
      <c r="F29" s="261">
        <f>F28*F27</f>
        <v>0</v>
      </c>
      <c r="G29" s="261">
        <f>G28*G27</f>
        <v>0</v>
      </c>
      <c r="H29" s="262">
        <f>H28*H27</f>
        <v>115200</v>
      </c>
      <c r="I29" s="263">
        <f>I28*I27*10</f>
        <v>12848000</v>
      </c>
      <c r="J29" s="261">
        <f>J28*J27*10</f>
        <v>2658000</v>
      </c>
      <c r="K29" s="261">
        <f>K28*K27*10</f>
        <v>0</v>
      </c>
      <c r="L29" s="261">
        <f>L28*L27*10</f>
        <v>0</v>
      </c>
      <c r="M29" s="264">
        <f>M28*M27*10</f>
        <v>1152000</v>
      </c>
      <c r="N29" s="260">
        <f>SUM(D29:H29)</f>
        <v>1665800</v>
      </c>
      <c r="O29" s="261">
        <f>SUM(I29:M29)</f>
        <v>16658000</v>
      </c>
      <c r="P29" s="262">
        <v>0</v>
      </c>
      <c r="Q29" s="265">
        <f>SUM(N29:P29)</f>
        <v>18323800</v>
      </c>
      <c r="R29" s="109"/>
    </row>
    <row r="30" spans="1:17" ht="12.75">
      <c r="A30" s="624"/>
      <c r="B30" s="626" t="str">
        <f>+'A) Reajuste Tarifas y Ocupación'!B20</f>
        <v>Informes de Evaluación Multidisciplinario</v>
      </c>
      <c r="C30" s="248" t="s">
        <v>165</v>
      </c>
      <c r="D30" s="601"/>
      <c r="E30" s="600"/>
      <c r="F30" s="600"/>
      <c r="G30" s="600"/>
      <c r="H30" s="602"/>
      <c r="I30" s="245">
        <f>'A) Reajuste Tarifas y Ocupación'!M20</f>
        <v>39200</v>
      </c>
      <c r="J30" s="243">
        <f>'A) Reajuste Tarifas y Ocupación'!N20</f>
        <v>39200</v>
      </c>
      <c r="K30" s="243">
        <f>'A) Reajuste Tarifas y Ocupación'!O20</f>
        <v>39900</v>
      </c>
      <c r="L30" s="243">
        <f>'A) Reajuste Tarifas y Ocupación'!P20</f>
        <v>39900</v>
      </c>
      <c r="M30" s="246">
        <f>'A) Reajuste Tarifas y Ocupación'!Q20</f>
        <v>42100</v>
      </c>
      <c r="N30" s="601"/>
      <c r="O30" s="600"/>
      <c r="P30" s="600"/>
      <c r="Q30" s="609"/>
    </row>
    <row r="31" spans="1:17" ht="12.75">
      <c r="A31" s="624"/>
      <c r="B31" s="626"/>
      <c r="C31" s="248" t="s">
        <v>6</v>
      </c>
      <c r="D31" s="601"/>
      <c r="E31" s="600"/>
      <c r="F31" s="600"/>
      <c r="G31" s="600"/>
      <c r="H31" s="602"/>
      <c r="I31" s="284">
        <f>'A) Reajuste Tarifas y Ocupación'!C41</f>
        <v>0</v>
      </c>
      <c r="J31" s="244">
        <f>'A) Reajuste Tarifas y Ocupación'!D41</f>
        <v>0</v>
      </c>
      <c r="K31" s="244">
        <f>'A) Reajuste Tarifas y Ocupación'!E41</f>
        <v>0</v>
      </c>
      <c r="L31" s="244">
        <f>'A) Reajuste Tarifas y Ocupación'!F41</f>
        <v>0</v>
      </c>
      <c r="M31" s="285">
        <f>'A) Reajuste Tarifas y Ocupación'!G41</f>
        <v>0</v>
      </c>
      <c r="N31" s="601"/>
      <c r="O31" s="600"/>
      <c r="P31" s="600"/>
      <c r="Q31" s="609"/>
    </row>
    <row r="32" spans="1:17" ht="12.75">
      <c r="A32" s="624"/>
      <c r="B32" s="626"/>
      <c r="C32" s="259" t="s">
        <v>7</v>
      </c>
      <c r="D32" s="260">
        <f>D31*D30</f>
        <v>0</v>
      </c>
      <c r="E32" s="261">
        <f>E31*E30</f>
        <v>0</v>
      </c>
      <c r="F32" s="261">
        <f>F31*F30</f>
        <v>0</v>
      </c>
      <c r="G32" s="261">
        <f>G31*G30</f>
        <v>0</v>
      </c>
      <c r="H32" s="262">
        <f>H31*H30</f>
        <v>0</v>
      </c>
      <c r="I32" s="263">
        <f>I31*I30*10</f>
        <v>0</v>
      </c>
      <c r="J32" s="261">
        <f>J31*J30*10</f>
        <v>0</v>
      </c>
      <c r="K32" s="261">
        <f>K31*K30*10</f>
        <v>0</v>
      </c>
      <c r="L32" s="261">
        <f>L31*L30*10</f>
        <v>0</v>
      </c>
      <c r="M32" s="264">
        <f>M31*M30*10</f>
        <v>0</v>
      </c>
      <c r="N32" s="260">
        <f>SUM(D32:H32)</f>
        <v>0</v>
      </c>
      <c r="O32" s="261">
        <f>SUM(I32:M32)</f>
        <v>0</v>
      </c>
      <c r="P32" s="262">
        <v>0</v>
      </c>
      <c r="Q32" s="265">
        <f>SUM(N32:P32)</f>
        <v>0</v>
      </c>
    </row>
    <row r="33" spans="1:17" ht="12.75">
      <c r="A33" s="624"/>
      <c r="B33" s="626" t="str">
        <f>+'A) Reajuste Tarifas y Ocupación'!B21</f>
        <v>Informes de Evaluación Multi - TEA</v>
      </c>
      <c r="C33" s="248" t="s">
        <v>165</v>
      </c>
      <c r="D33" s="601"/>
      <c r="E33" s="600"/>
      <c r="F33" s="600"/>
      <c r="G33" s="600"/>
      <c r="H33" s="602"/>
      <c r="I33" s="245">
        <f>'A) Reajuste Tarifas y Ocupación'!M21</f>
        <v>61900</v>
      </c>
      <c r="J33" s="243">
        <f>'A) Reajuste Tarifas y Ocupación'!N21</f>
        <v>61900</v>
      </c>
      <c r="K33" s="243">
        <f>'A) Reajuste Tarifas y Ocupación'!O21</f>
        <v>61900</v>
      </c>
      <c r="L33" s="243">
        <f>'A) Reajuste Tarifas y Ocupación'!P21</f>
        <v>61900</v>
      </c>
      <c r="M33" s="246">
        <f>'A) Reajuste Tarifas y Ocupación'!Q21</f>
        <v>66400</v>
      </c>
      <c r="N33" s="601"/>
      <c r="O33" s="600"/>
      <c r="P33" s="600"/>
      <c r="Q33" s="609"/>
    </row>
    <row r="34" spans="1:17" ht="12.75">
      <c r="A34" s="624"/>
      <c r="B34" s="626"/>
      <c r="C34" s="248" t="s">
        <v>6</v>
      </c>
      <c r="D34" s="601"/>
      <c r="E34" s="600"/>
      <c r="F34" s="600"/>
      <c r="G34" s="600"/>
      <c r="H34" s="602"/>
      <c r="I34" s="284">
        <f>'A) Reajuste Tarifas y Ocupación'!C42</f>
        <v>0</v>
      </c>
      <c r="J34" s="244">
        <f>'A) Reajuste Tarifas y Ocupación'!D42</f>
        <v>0</v>
      </c>
      <c r="K34" s="244">
        <f>'A) Reajuste Tarifas y Ocupación'!E42</f>
        <v>0</v>
      </c>
      <c r="L34" s="244">
        <f>'A) Reajuste Tarifas y Ocupación'!F42</f>
        <v>0</v>
      </c>
      <c r="M34" s="285">
        <f>'A) Reajuste Tarifas y Ocupación'!G42</f>
        <v>0</v>
      </c>
      <c r="N34" s="601"/>
      <c r="O34" s="600"/>
      <c r="P34" s="600"/>
      <c r="Q34" s="609"/>
    </row>
    <row r="35" spans="1:17" ht="12.75">
      <c r="A35" s="624"/>
      <c r="B35" s="626"/>
      <c r="C35" s="259" t="s">
        <v>7</v>
      </c>
      <c r="D35" s="260">
        <f>D34*D33</f>
        <v>0</v>
      </c>
      <c r="E35" s="261">
        <f>E34*E33</f>
        <v>0</v>
      </c>
      <c r="F35" s="261">
        <f>F34*F33</f>
        <v>0</v>
      </c>
      <c r="G35" s="261">
        <f>G34*G33</f>
        <v>0</v>
      </c>
      <c r="H35" s="262">
        <f>H34*H33</f>
        <v>0</v>
      </c>
      <c r="I35" s="263">
        <f>I34*I33*10</f>
        <v>0</v>
      </c>
      <c r="J35" s="261">
        <f>J34*J33*10</f>
        <v>0</v>
      </c>
      <c r="K35" s="261">
        <f>K34*K33*10</f>
        <v>0</v>
      </c>
      <c r="L35" s="261">
        <f>L34*L33*10</f>
        <v>0</v>
      </c>
      <c r="M35" s="264">
        <f>M34*M33*10</f>
        <v>0</v>
      </c>
      <c r="N35" s="260">
        <f>SUM(D35:H35)</f>
        <v>0</v>
      </c>
      <c r="O35" s="261">
        <f>SUM(I35:M35)</f>
        <v>0</v>
      </c>
      <c r="P35" s="262">
        <f>P34*P33</f>
        <v>0</v>
      </c>
      <c r="Q35" s="265">
        <f>SUM(N35:P35)</f>
        <v>0</v>
      </c>
    </row>
    <row r="36" spans="1:17" ht="12.75">
      <c r="A36" s="624"/>
      <c r="B36" s="626" t="str">
        <f>+'A) Reajuste Tarifas y Ocupación'!B22</f>
        <v>(Nombre de prestación 7)</v>
      </c>
      <c r="C36" s="248" t="s">
        <v>165</v>
      </c>
      <c r="D36" s="601"/>
      <c r="E36" s="600"/>
      <c r="F36" s="600"/>
      <c r="G36" s="600"/>
      <c r="H36" s="602"/>
      <c r="I36" s="245">
        <f>'A) Reajuste Tarifas y Ocupación'!M22</f>
        <v>0</v>
      </c>
      <c r="J36" s="243">
        <f>'A) Reajuste Tarifas y Ocupación'!N22</f>
        <v>0</v>
      </c>
      <c r="K36" s="243">
        <f>'A) Reajuste Tarifas y Ocupación'!O22</f>
        <v>0</v>
      </c>
      <c r="L36" s="243">
        <f>'A) Reajuste Tarifas y Ocupación'!P22</f>
        <v>0</v>
      </c>
      <c r="M36" s="246">
        <f>'A) Reajuste Tarifas y Ocupación'!Q22</f>
        <v>0</v>
      </c>
      <c r="N36" s="601"/>
      <c r="O36" s="600"/>
      <c r="P36" s="600"/>
      <c r="Q36" s="609"/>
    </row>
    <row r="37" spans="1:17" ht="12.75">
      <c r="A37" s="624"/>
      <c r="B37" s="626"/>
      <c r="C37" s="248" t="s">
        <v>6</v>
      </c>
      <c r="D37" s="601"/>
      <c r="E37" s="600"/>
      <c r="F37" s="600"/>
      <c r="G37" s="600"/>
      <c r="H37" s="602"/>
      <c r="I37" s="284">
        <f>'A) Reajuste Tarifas y Ocupación'!C43</f>
        <v>0</v>
      </c>
      <c r="J37" s="244">
        <f>'A) Reajuste Tarifas y Ocupación'!D43</f>
        <v>0</v>
      </c>
      <c r="K37" s="244">
        <f>'A) Reajuste Tarifas y Ocupación'!E43</f>
        <v>0</v>
      </c>
      <c r="L37" s="244">
        <f>'A) Reajuste Tarifas y Ocupación'!F43</f>
        <v>0</v>
      </c>
      <c r="M37" s="285">
        <f>'A) Reajuste Tarifas y Ocupación'!G43</f>
        <v>0</v>
      </c>
      <c r="N37" s="601"/>
      <c r="O37" s="600"/>
      <c r="P37" s="600"/>
      <c r="Q37" s="609"/>
    </row>
    <row r="38" spans="1:17" ht="12.75">
      <c r="A38" s="624"/>
      <c r="B38" s="626"/>
      <c r="C38" s="259" t="s">
        <v>7</v>
      </c>
      <c r="D38" s="260">
        <f>D37*D36</f>
        <v>0</v>
      </c>
      <c r="E38" s="261">
        <f>E37*E36</f>
        <v>0</v>
      </c>
      <c r="F38" s="261">
        <f>F37*F36</f>
        <v>0</v>
      </c>
      <c r="G38" s="261">
        <f>G37*G36</f>
        <v>0</v>
      </c>
      <c r="H38" s="262">
        <f>H37*H36</f>
        <v>0</v>
      </c>
      <c r="I38" s="263">
        <f>I37*I36*10</f>
        <v>0</v>
      </c>
      <c r="J38" s="261">
        <f>J37*J36*10</f>
        <v>0</v>
      </c>
      <c r="K38" s="261">
        <f>K37*K36*10</f>
        <v>0</v>
      </c>
      <c r="L38" s="261">
        <f>L37*L36*10</f>
        <v>0</v>
      </c>
      <c r="M38" s="264">
        <f>M37*M36*10</f>
        <v>0</v>
      </c>
      <c r="N38" s="260">
        <f>SUM(D38:H38)</f>
        <v>0</v>
      </c>
      <c r="O38" s="261">
        <f>SUM(I38:M38)</f>
        <v>0</v>
      </c>
      <c r="P38" s="262">
        <f>P37*P36</f>
        <v>0</v>
      </c>
      <c r="Q38" s="265">
        <f>SUM(N38:P38)</f>
        <v>0</v>
      </c>
    </row>
    <row r="39" spans="1:17" ht="12.75">
      <c r="A39" s="624"/>
      <c r="B39" s="626" t="str">
        <f>+'A) Reajuste Tarifas y Ocupación'!B23</f>
        <v>(Nombre de prestación 8)</v>
      </c>
      <c r="C39" s="248" t="s">
        <v>165</v>
      </c>
      <c r="D39" s="601"/>
      <c r="E39" s="600"/>
      <c r="F39" s="600"/>
      <c r="G39" s="600"/>
      <c r="H39" s="602"/>
      <c r="I39" s="245">
        <f>'A) Reajuste Tarifas y Ocupación'!M23</f>
        <v>0</v>
      </c>
      <c r="J39" s="243">
        <f>'A) Reajuste Tarifas y Ocupación'!N23</f>
        <v>0</v>
      </c>
      <c r="K39" s="243">
        <f>'A) Reajuste Tarifas y Ocupación'!O23</f>
        <v>0</v>
      </c>
      <c r="L39" s="243">
        <f>'A) Reajuste Tarifas y Ocupación'!P23</f>
        <v>0</v>
      </c>
      <c r="M39" s="246">
        <f>'A) Reajuste Tarifas y Ocupación'!Q23</f>
        <v>0</v>
      </c>
      <c r="N39" s="601"/>
      <c r="O39" s="600"/>
      <c r="P39" s="600"/>
      <c r="Q39" s="609"/>
    </row>
    <row r="40" spans="1:17" ht="12.75">
      <c r="A40" s="624"/>
      <c r="B40" s="626"/>
      <c r="C40" s="248" t="s">
        <v>6</v>
      </c>
      <c r="D40" s="601"/>
      <c r="E40" s="600"/>
      <c r="F40" s="600"/>
      <c r="G40" s="600"/>
      <c r="H40" s="602"/>
      <c r="I40" s="284">
        <f>'A) Reajuste Tarifas y Ocupación'!C44</f>
        <v>0</v>
      </c>
      <c r="J40" s="244">
        <f>'A) Reajuste Tarifas y Ocupación'!D44</f>
        <v>0</v>
      </c>
      <c r="K40" s="244">
        <f>'A) Reajuste Tarifas y Ocupación'!E44</f>
        <v>0</v>
      </c>
      <c r="L40" s="244">
        <f>'A) Reajuste Tarifas y Ocupación'!F44</f>
        <v>0</v>
      </c>
      <c r="M40" s="285">
        <f>'A) Reajuste Tarifas y Ocupación'!G44</f>
        <v>0</v>
      </c>
      <c r="N40" s="601"/>
      <c r="O40" s="600"/>
      <c r="P40" s="600"/>
      <c r="Q40" s="609"/>
    </row>
    <row r="41" spans="1:17" ht="12.75">
      <c r="A41" s="624"/>
      <c r="B41" s="626"/>
      <c r="C41" s="259" t="s">
        <v>7</v>
      </c>
      <c r="D41" s="260">
        <f>D40*D39</f>
        <v>0</v>
      </c>
      <c r="E41" s="261">
        <f>E40*E39</f>
        <v>0</v>
      </c>
      <c r="F41" s="261">
        <f>F40*F39</f>
        <v>0</v>
      </c>
      <c r="G41" s="261">
        <f>G40*G39</f>
        <v>0</v>
      </c>
      <c r="H41" s="262">
        <f>H40*H39</f>
        <v>0</v>
      </c>
      <c r="I41" s="263">
        <f>I40*I39*10</f>
        <v>0</v>
      </c>
      <c r="J41" s="261">
        <f>J40*J39*10</f>
        <v>0</v>
      </c>
      <c r="K41" s="261">
        <f>K40*K39*10</f>
        <v>0</v>
      </c>
      <c r="L41" s="261">
        <f>L40*L39*10</f>
        <v>0</v>
      </c>
      <c r="M41" s="264">
        <f>M40*M39*10</f>
        <v>0</v>
      </c>
      <c r="N41" s="260">
        <f>SUM(D41:H41)</f>
        <v>0</v>
      </c>
      <c r="O41" s="261">
        <f>SUM(I41:M41)</f>
        <v>0</v>
      </c>
      <c r="P41" s="262">
        <f>P40*P39</f>
        <v>0</v>
      </c>
      <c r="Q41" s="265">
        <f>SUM(N41:P41)</f>
        <v>0</v>
      </c>
    </row>
    <row r="42" spans="1:17" ht="12.75">
      <c r="A42" s="624"/>
      <c r="B42" s="626" t="str">
        <f>+'A) Reajuste Tarifas y Ocupación'!B24</f>
        <v>(Nombre de prestación 9)</v>
      </c>
      <c r="C42" s="248" t="s">
        <v>165</v>
      </c>
      <c r="D42" s="601"/>
      <c r="E42" s="600"/>
      <c r="F42" s="600"/>
      <c r="G42" s="600"/>
      <c r="H42" s="602"/>
      <c r="I42" s="245">
        <f>'A) Reajuste Tarifas y Ocupación'!M24</f>
        <v>0</v>
      </c>
      <c r="J42" s="243">
        <f>'A) Reajuste Tarifas y Ocupación'!N24</f>
        <v>0</v>
      </c>
      <c r="K42" s="243">
        <f>'A) Reajuste Tarifas y Ocupación'!O24</f>
        <v>0</v>
      </c>
      <c r="L42" s="243">
        <f>'A) Reajuste Tarifas y Ocupación'!P24</f>
        <v>0</v>
      </c>
      <c r="M42" s="246">
        <f>'A) Reajuste Tarifas y Ocupación'!Q24</f>
        <v>0</v>
      </c>
      <c r="N42" s="601"/>
      <c r="O42" s="600"/>
      <c r="P42" s="600"/>
      <c r="Q42" s="609"/>
    </row>
    <row r="43" spans="1:17" ht="12.75">
      <c r="A43" s="624"/>
      <c r="B43" s="626"/>
      <c r="C43" s="248" t="s">
        <v>6</v>
      </c>
      <c r="D43" s="601"/>
      <c r="E43" s="600"/>
      <c r="F43" s="600"/>
      <c r="G43" s="600"/>
      <c r="H43" s="602"/>
      <c r="I43" s="284">
        <f>'A) Reajuste Tarifas y Ocupación'!C45</f>
        <v>0</v>
      </c>
      <c r="J43" s="244">
        <f>'A) Reajuste Tarifas y Ocupación'!D45</f>
        <v>0</v>
      </c>
      <c r="K43" s="244">
        <f>'A) Reajuste Tarifas y Ocupación'!E45</f>
        <v>0</v>
      </c>
      <c r="L43" s="244">
        <f>'A) Reajuste Tarifas y Ocupación'!F45</f>
        <v>0</v>
      </c>
      <c r="M43" s="285">
        <f>'A) Reajuste Tarifas y Ocupación'!G45</f>
        <v>0</v>
      </c>
      <c r="N43" s="601"/>
      <c r="O43" s="600"/>
      <c r="P43" s="600"/>
      <c r="Q43" s="609"/>
    </row>
    <row r="44" spans="1:17" ht="12.75">
      <c r="A44" s="624"/>
      <c r="B44" s="626"/>
      <c r="C44" s="259" t="s">
        <v>7</v>
      </c>
      <c r="D44" s="260">
        <f>D43*D42</f>
        <v>0</v>
      </c>
      <c r="E44" s="261">
        <f>E43*E42</f>
        <v>0</v>
      </c>
      <c r="F44" s="261">
        <f>F43*F42</f>
        <v>0</v>
      </c>
      <c r="G44" s="261">
        <f>G43*G42</f>
        <v>0</v>
      </c>
      <c r="H44" s="262">
        <f>H43*H42</f>
        <v>0</v>
      </c>
      <c r="I44" s="263">
        <f>I43*I42*10</f>
        <v>0</v>
      </c>
      <c r="J44" s="261">
        <f>J43*J42*10</f>
        <v>0</v>
      </c>
      <c r="K44" s="261">
        <f>K43*K42*10</f>
        <v>0</v>
      </c>
      <c r="L44" s="261">
        <f>L43*L42*10</f>
        <v>0</v>
      </c>
      <c r="M44" s="264">
        <f>M43*M42*10</f>
        <v>0</v>
      </c>
      <c r="N44" s="260">
        <f>SUM(D44:H44)</f>
        <v>0</v>
      </c>
      <c r="O44" s="261">
        <f>SUM(I44:M44)</f>
        <v>0</v>
      </c>
      <c r="P44" s="262">
        <f>P43*P42</f>
        <v>0</v>
      </c>
      <c r="Q44" s="265">
        <f>SUM(N44:P44)</f>
        <v>0</v>
      </c>
    </row>
    <row r="45" spans="1:17" ht="12.75">
      <c r="A45" s="624"/>
      <c r="B45" s="626" t="str">
        <f>+'A) Reajuste Tarifas y Ocupación'!B25</f>
        <v>(Nombre de prestación 10)</v>
      </c>
      <c r="C45" s="248" t="s">
        <v>165</v>
      </c>
      <c r="D45" s="601"/>
      <c r="E45" s="600"/>
      <c r="F45" s="600"/>
      <c r="G45" s="600"/>
      <c r="H45" s="602"/>
      <c r="I45" s="245">
        <f>'A) Reajuste Tarifas y Ocupación'!M25</f>
        <v>0</v>
      </c>
      <c r="J45" s="243">
        <f>'A) Reajuste Tarifas y Ocupación'!N25</f>
        <v>0</v>
      </c>
      <c r="K45" s="243">
        <f>'A) Reajuste Tarifas y Ocupación'!O25</f>
        <v>0</v>
      </c>
      <c r="L45" s="243">
        <f>'A) Reajuste Tarifas y Ocupación'!P25</f>
        <v>0</v>
      </c>
      <c r="M45" s="246">
        <f>'A) Reajuste Tarifas y Ocupación'!Q25</f>
        <v>0</v>
      </c>
      <c r="N45" s="601"/>
      <c r="O45" s="600"/>
      <c r="P45" s="600"/>
      <c r="Q45" s="609"/>
    </row>
    <row r="46" spans="1:17" ht="12.75">
      <c r="A46" s="624"/>
      <c r="B46" s="626"/>
      <c r="C46" s="248" t="s">
        <v>6</v>
      </c>
      <c r="D46" s="601"/>
      <c r="E46" s="600"/>
      <c r="F46" s="600"/>
      <c r="G46" s="600"/>
      <c r="H46" s="602"/>
      <c r="I46" s="284">
        <f>'A) Reajuste Tarifas y Ocupación'!C46</f>
        <v>0</v>
      </c>
      <c r="J46" s="244">
        <f>'A) Reajuste Tarifas y Ocupación'!D46</f>
        <v>0</v>
      </c>
      <c r="K46" s="244">
        <f>'A) Reajuste Tarifas y Ocupación'!E46</f>
        <v>0</v>
      </c>
      <c r="L46" s="244">
        <f>'A) Reajuste Tarifas y Ocupación'!F46</f>
        <v>0</v>
      </c>
      <c r="M46" s="285">
        <f>'A) Reajuste Tarifas y Ocupación'!G46</f>
        <v>0</v>
      </c>
      <c r="N46" s="601"/>
      <c r="O46" s="600"/>
      <c r="P46" s="600"/>
      <c r="Q46" s="609"/>
    </row>
    <row r="47" spans="1:17" ht="12.75">
      <c r="A47" s="624"/>
      <c r="B47" s="626"/>
      <c r="C47" s="259" t="s">
        <v>7</v>
      </c>
      <c r="D47" s="260">
        <f>D46*D45</f>
        <v>0</v>
      </c>
      <c r="E47" s="261">
        <f>E46*E45</f>
        <v>0</v>
      </c>
      <c r="F47" s="261">
        <f>F46*F45</f>
        <v>0</v>
      </c>
      <c r="G47" s="261">
        <f>G46*G45</f>
        <v>0</v>
      </c>
      <c r="H47" s="262">
        <f>H46*H45</f>
        <v>0</v>
      </c>
      <c r="I47" s="263">
        <f>I46*I45*10</f>
        <v>0</v>
      </c>
      <c r="J47" s="261">
        <f>J46*J45*10</f>
        <v>0</v>
      </c>
      <c r="K47" s="261">
        <f>K46*K45*10</f>
        <v>0</v>
      </c>
      <c r="L47" s="261">
        <f>L46*L45*10</f>
        <v>0</v>
      </c>
      <c r="M47" s="264">
        <f>M46*M45*10</f>
        <v>0</v>
      </c>
      <c r="N47" s="260">
        <f>SUM(D47:H47)</f>
        <v>0</v>
      </c>
      <c r="O47" s="261">
        <f>SUM(I47:M47)</f>
        <v>0</v>
      </c>
      <c r="P47" s="262">
        <f>P46*P45</f>
        <v>0</v>
      </c>
      <c r="Q47" s="265">
        <f>SUM(N47:P47)</f>
        <v>0</v>
      </c>
    </row>
    <row r="48" spans="1:17" s="272" customFormat="1" ht="21.75" customHeight="1" thickBot="1">
      <c r="A48" s="625"/>
      <c r="B48" s="627" t="s">
        <v>8</v>
      </c>
      <c r="C48" s="628"/>
      <c r="D48" s="266">
        <f aca="true" t="shared" si="4" ref="D48:Q48">SUM(D20,D23,D26,D29,D32,D35,D38,D41,D44,D47)</f>
        <v>1677500</v>
      </c>
      <c r="E48" s="267">
        <f t="shared" si="4"/>
        <v>1250400</v>
      </c>
      <c r="F48" s="267">
        <f t="shared" si="4"/>
        <v>0</v>
      </c>
      <c r="G48" s="267">
        <f t="shared" si="4"/>
        <v>0</v>
      </c>
      <c r="H48" s="268">
        <f t="shared" si="4"/>
        <v>886500</v>
      </c>
      <c r="I48" s="269">
        <f t="shared" si="4"/>
        <v>16775000</v>
      </c>
      <c r="J48" s="267">
        <f t="shared" si="4"/>
        <v>12504000</v>
      </c>
      <c r="K48" s="267">
        <f t="shared" si="4"/>
        <v>0</v>
      </c>
      <c r="L48" s="267">
        <f t="shared" si="4"/>
        <v>0</v>
      </c>
      <c r="M48" s="270">
        <f t="shared" si="4"/>
        <v>8865000</v>
      </c>
      <c r="N48" s="266">
        <f t="shared" si="4"/>
        <v>3814400</v>
      </c>
      <c r="O48" s="267">
        <f t="shared" si="4"/>
        <v>38144000</v>
      </c>
      <c r="P48" s="268">
        <f t="shared" si="4"/>
        <v>0</v>
      </c>
      <c r="Q48" s="271">
        <f t="shared" si="4"/>
        <v>41958400</v>
      </c>
    </row>
  </sheetData>
  <sheetProtection password="9C6E" sheet="1"/>
  <mergeCells count="92">
    <mergeCell ref="N39:N40"/>
    <mergeCell ref="O39:O40"/>
    <mergeCell ref="N42:N43"/>
    <mergeCell ref="O42:O43"/>
    <mergeCell ref="N45:N46"/>
    <mergeCell ref="O45:O46"/>
    <mergeCell ref="N30:N31"/>
    <mergeCell ref="O30:O31"/>
    <mergeCell ref="N33:N34"/>
    <mergeCell ref="O33:O34"/>
    <mergeCell ref="N36:N37"/>
    <mergeCell ref="O36:O37"/>
    <mergeCell ref="N21:N22"/>
    <mergeCell ref="O21:O22"/>
    <mergeCell ref="N24:N25"/>
    <mergeCell ref="O24:O25"/>
    <mergeCell ref="N27:N28"/>
    <mergeCell ref="O27:O28"/>
    <mergeCell ref="D30:D31"/>
    <mergeCell ref="E30:E31"/>
    <mergeCell ref="F30:F31"/>
    <mergeCell ref="G30:G31"/>
    <mergeCell ref="H30:H31"/>
    <mergeCell ref="D33:D34"/>
    <mergeCell ref="E33:E34"/>
    <mergeCell ref="F33:F34"/>
    <mergeCell ref="G33:G34"/>
    <mergeCell ref="H33:H34"/>
    <mergeCell ref="B39:B41"/>
    <mergeCell ref="Q21:Q22"/>
    <mergeCell ref="Q24:Q25"/>
    <mergeCell ref="B48:C48"/>
    <mergeCell ref="Q42:Q43"/>
    <mergeCell ref="Q45:Q46"/>
    <mergeCell ref="Q33:Q34"/>
    <mergeCell ref="Q36:Q37"/>
    <mergeCell ref="Q39:Q40"/>
    <mergeCell ref="Q30:Q31"/>
    <mergeCell ref="A18:A48"/>
    <mergeCell ref="B18:B20"/>
    <mergeCell ref="B21:B23"/>
    <mergeCell ref="B24:B26"/>
    <mergeCell ref="B27:B29"/>
    <mergeCell ref="B30:B32"/>
    <mergeCell ref="B42:B44"/>
    <mergeCell ref="B45:B47"/>
    <mergeCell ref="B33:B35"/>
    <mergeCell ref="B36:B38"/>
    <mergeCell ref="C4:D4"/>
    <mergeCell ref="E4:F4"/>
    <mergeCell ref="C16:C17"/>
    <mergeCell ref="A6:D6"/>
    <mergeCell ref="A14:D14"/>
    <mergeCell ref="A16:A17"/>
    <mergeCell ref="B16:B17"/>
    <mergeCell ref="D16:H16"/>
    <mergeCell ref="I16:M16"/>
    <mergeCell ref="N16:N17"/>
    <mergeCell ref="O16:O17"/>
    <mergeCell ref="Q27:Q28"/>
    <mergeCell ref="Q18:Q19"/>
    <mergeCell ref="Q16:Q17"/>
    <mergeCell ref="P16:P17"/>
    <mergeCell ref="N18:N19"/>
    <mergeCell ref="O18:O19"/>
    <mergeCell ref="P27:P28"/>
    <mergeCell ref="D36:D37"/>
    <mergeCell ref="E36:E37"/>
    <mergeCell ref="F36:F37"/>
    <mergeCell ref="G36:G37"/>
    <mergeCell ref="H36:H37"/>
    <mergeCell ref="D39:D40"/>
    <mergeCell ref="E39:E40"/>
    <mergeCell ref="F39:F40"/>
    <mergeCell ref="G39:G40"/>
    <mergeCell ref="H39:H40"/>
    <mergeCell ref="D42:D43"/>
    <mergeCell ref="E42:E43"/>
    <mergeCell ref="F42:F43"/>
    <mergeCell ref="G42:G43"/>
    <mergeCell ref="H42:H43"/>
    <mergeCell ref="D45:D46"/>
    <mergeCell ref="E45:E46"/>
    <mergeCell ref="F45:F46"/>
    <mergeCell ref="G45:G46"/>
    <mergeCell ref="H45:H46"/>
    <mergeCell ref="P45:P46"/>
    <mergeCell ref="P42:P43"/>
    <mergeCell ref="P39:P40"/>
    <mergeCell ref="P36:P37"/>
    <mergeCell ref="P33:P34"/>
    <mergeCell ref="P30:P31"/>
  </mergeCells>
  <conditionalFormatting sqref="D11:O13 C10:O10 E14:O14 B9:J9">
    <cfRule type="cellIs" priority="5" dxfId="0" operator="lessThan" stopIfTrue="1">
      <formula>0</formula>
    </cfRule>
  </conditionalFormatting>
  <printOptions/>
  <pageMargins left="0.19652777777777777" right="0.19652777777777777" top="0.275" bottom="0.19652777777777777" header="0.19652777777777777" footer="0.5118055555555555"/>
  <pageSetup fitToHeight="14" fitToWidth="1" horizontalDpi="300" verticalDpi="300" orientation="landscape" r:id="rId3"/>
  <headerFooter alignWithMargins="0">
    <oddHeader>&amp;LSEPT - 2004&amp;CDIRECTIVA D.B.S.A.ORDINARIA&amp;R02-BS/0307/02Pag &amp;P de &amp;N</oddHeader>
  </headerFooter>
  <ignoredErrors>
    <ignoredError sqref="I39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K19"/>
  <sheetViews>
    <sheetView showGridLines="0" zoomScale="80" zoomScaleNormal="80" zoomScalePageLayoutView="0" workbookViewId="0" topLeftCell="A1">
      <selection activeCell="K22" sqref="K22"/>
    </sheetView>
  </sheetViews>
  <sheetFormatPr defaultColWidth="11.421875" defaultRowHeight="12.75"/>
  <cols>
    <col min="1" max="1" width="17.7109375" style="3" customWidth="1"/>
    <col min="2" max="2" width="42.00390625" style="3" customWidth="1"/>
    <col min="3" max="3" width="16.7109375" style="20" customWidth="1"/>
    <col min="4" max="6" width="16.00390625" style="20" customWidth="1"/>
    <col min="7" max="7" width="14.140625" style="20" customWidth="1"/>
    <col min="8" max="8" width="17.28125" style="20" customWidth="1"/>
    <col min="9" max="10" width="17.57421875" style="20" customWidth="1"/>
    <col min="11" max="11" width="16.28125" style="20" customWidth="1"/>
    <col min="12" max="12" width="14.8515625" style="20" customWidth="1"/>
    <col min="13" max="13" width="17.28125" style="20" customWidth="1"/>
    <col min="14" max="14" width="14.140625" style="20" customWidth="1"/>
    <col min="15" max="16" width="16.140625" style="20" customWidth="1"/>
    <col min="17" max="17" width="14.140625" style="20" customWidth="1"/>
    <col min="18" max="18" width="16.57421875" style="3" customWidth="1"/>
    <col min="19" max="19" width="15.00390625" style="3" customWidth="1"/>
    <col min="20" max="21" width="15.421875" style="3" customWidth="1"/>
    <col min="22" max="22" width="14.421875" style="3" customWidth="1"/>
    <col min="23" max="16384" width="11.421875" style="3" customWidth="1"/>
  </cols>
  <sheetData>
    <row r="1" spans="2:245" s="5" customFormat="1" ht="12.75">
      <c r="B1" s="4"/>
      <c r="C1" s="6"/>
      <c r="D1" s="6"/>
      <c r="E1" s="47"/>
      <c r="F1" s="47"/>
      <c r="G1" s="47"/>
      <c r="H1" s="6"/>
      <c r="I1" s="6"/>
      <c r="J1" s="6"/>
      <c r="K1" s="6"/>
      <c r="L1" s="6"/>
      <c r="M1" s="6"/>
      <c r="N1" s="6"/>
      <c r="O1" s="6"/>
      <c r="P1" s="6"/>
      <c r="Q1" s="6"/>
      <c r="IJ1" s="3"/>
      <c r="IK1" s="3"/>
    </row>
    <row r="2" spans="2:245" s="5" customFormat="1" ht="12.75">
      <c r="B2" s="7"/>
      <c r="C2" s="6"/>
      <c r="D2" s="6"/>
      <c r="E2" s="47"/>
      <c r="F2" s="47"/>
      <c r="G2" s="47"/>
      <c r="H2" s="6"/>
      <c r="I2" s="6"/>
      <c r="J2" s="6"/>
      <c r="K2" s="6"/>
      <c r="L2" s="6"/>
      <c r="M2" s="6"/>
      <c r="N2" s="6"/>
      <c r="O2" s="6"/>
      <c r="P2" s="6"/>
      <c r="Q2" s="6"/>
      <c r="IJ2" s="3"/>
      <c r="IK2" s="3"/>
    </row>
    <row r="3" spans="2:245" s="5" customFormat="1" ht="13.5" thickBot="1">
      <c r="B3" s="3"/>
      <c r="IJ3" s="3"/>
      <c r="IK3" s="3"/>
    </row>
    <row r="4" spans="2:240" s="5" customFormat="1" ht="17.25" customHeight="1" thickBot="1">
      <c r="B4" s="20"/>
      <c r="C4" s="74"/>
      <c r="D4" s="74" t="s">
        <v>0</v>
      </c>
      <c r="E4" s="196" t="str">
        <f>+'A) Reajuste Tarifas y Ocupación'!D9</f>
        <v>BIENVALP</v>
      </c>
      <c r="F4" s="67"/>
      <c r="G4" s="67"/>
      <c r="H4" s="67"/>
      <c r="I4" s="74"/>
      <c r="J4" s="74"/>
      <c r="K4" s="74"/>
      <c r="L4" s="74"/>
      <c r="M4" s="74"/>
      <c r="N4" s="74"/>
      <c r="O4" s="74"/>
      <c r="P4" s="74"/>
      <c r="Q4" s="74"/>
      <c r="IA4" s="3"/>
      <c r="IB4" s="3"/>
      <c r="IC4" s="3"/>
      <c r="ID4" s="3"/>
      <c r="IE4" s="3"/>
      <c r="IF4" s="3"/>
    </row>
    <row r="5" spans="2:240" s="5" customFormat="1" ht="12.75">
      <c r="B5" s="20"/>
      <c r="C5" s="74"/>
      <c r="D5" s="74"/>
      <c r="E5" s="70"/>
      <c r="F5" s="70"/>
      <c r="G5" s="70"/>
      <c r="H5" s="70"/>
      <c r="I5" s="74"/>
      <c r="J5" s="74"/>
      <c r="K5" s="74"/>
      <c r="L5" s="74"/>
      <c r="M5" s="74"/>
      <c r="N5" s="74"/>
      <c r="O5" s="74"/>
      <c r="P5" s="74"/>
      <c r="Q5" s="74"/>
      <c r="IA5" s="3"/>
      <c r="IB5" s="3"/>
      <c r="IC5" s="3"/>
      <c r="ID5" s="3"/>
      <c r="IE5" s="3"/>
      <c r="IF5" s="3"/>
    </row>
    <row r="6" spans="1:240" s="5" customFormat="1" ht="15.75">
      <c r="A6" s="632" t="s">
        <v>107</v>
      </c>
      <c r="B6" s="632"/>
      <c r="C6" s="632"/>
      <c r="D6" s="74"/>
      <c r="E6" s="70"/>
      <c r="F6" s="70"/>
      <c r="G6" s="70"/>
      <c r="H6" s="70"/>
      <c r="I6" s="74"/>
      <c r="J6" s="74"/>
      <c r="K6" s="74"/>
      <c r="L6" s="74"/>
      <c r="M6" s="74"/>
      <c r="N6" s="74"/>
      <c r="O6" s="74"/>
      <c r="P6" s="74"/>
      <c r="Q6" s="74"/>
      <c r="IA6" s="3"/>
      <c r="IB6" s="3"/>
      <c r="IC6" s="3"/>
      <c r="ID6" s="3"/>
      <c r="IE6" s="3"/>
      <c r="IF6" s="3"/>
    </row>
    <row r="7" spans="2:240" s="5" customFormat="1" ht="13.5" thickBo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HX7" s="3"/>
      <c r="HY7" s="3"/>
      <c r="HZ7" s="3"/>
      <c r="IA7" s="3"/>
      <c r="IB7" s="3"/>
      <c r="IC7" s="3"/>
      <c r="ID7" s="3"/>
      <c r="IE7" s="3"/>
      <c r="IF7" s="3"/>
    </row>
    <row r="8" spans="1:22" ht="16.5" customHeight="1">
      <c r="A8" s="526" t="s">
        <v>79</v>
      </c>
      <c r="B8" s="556" t="s">
        <v>4</v>
      </c>
      <c r="C8" s="523" t="s">
        <v>122</v>
      </c>
      <c r="D8" s="524"/>
      <c r="E8" s="524"/>
      <c r="F8" s="524"/>
      <c r="G8" s="525"/>
      <c r="H8" s="633" t="s">
        <v>151</v>
      </c>
      <c r="I8" s="634"/>
      <c r="J8" s="634"/>
      <c r="K8" s="634"/>
      <c r="L8" s="635"/>
      <c r="M8" s="636" t="s">
        <v>85</v>
      </c>
      <c r="N8" s="630"/>
      <c r="O8" s="630"/>
      <c r="P8" s="630"/>
      <c r="Q8" s="631"/>
      <c r="R8" s="629" t="s">
        <v>86</v>
      </c>
      <c r="S8" s="630"/>
      <c r="T8" s="630"/>
      <c r="U8" s="630"/>
      <c r="V8" s="631"/>
    </row>
    <row r="9" spans="1:22" ht="46.5" customHeight="1" thickBot="1">
      <c r="A9" s="527"/>
      <c r="B9" s="557"/>
      <c r="C9" s="139" t="s">
        <v>158</v>
      </c>
      <c r="D9" s="144" t="s">
        <v>161</v>
      </c>
      <c r="E9" s="140" t="s">
        <v>162</v>
      </c>
      <c r="F9" s="140" t="s">
        <v>163</v>
      </c>
      <c r="G9" s="141" t="s">
        <v>160</v>
      </c>
      <c r="H9" s="296" t="s">
        <v>158</v>
      </c>
      <c r="I9" s="293" t="s">
        <v>161</v>
      </c>
      <c r="J9" s="293" t="s">
        <v>169</v>
      </c>
      <c r="K9" s="293" t="s">
        <v>164</v>
      </c>
      <c r="L9" s="295" t="s">
        <v>170</v>
      </c>
      <c r="M9" s="303" t="s">
        <v>158</v>
      </c>
      <c r="N9" s="293" t="s">
        <v>161</v>
      </c>
      <c r="O9" s="293" t="s">
        <v>169</v>
      </c>
      <c r="P9" s="293" t="s">
        <v>164</v>
      </c>
      <c r="Q9" s="294" t="s">
        <v>170</v>
      </c>
      <c r="R9" s="296" t="s">
        <v>158</v>
      </c>
      <c r="S9" s="293" t="s">
        <v>161</v>
      </c>
      <c r="T9" s="293" t="s">
        <v>169</v>
      </c>
      <c r="U9" s="293" t="s">
        <v>164</v>
      </c>
      <c r="V9" s="294" t="s">
        <v>170</v>
      </c>
    </row>
    <row r="10" spans="1:22" s="9" customFormat="1" ht="12.75" customHeight="1">
      <c r="A10" s="549" t="str">
        <f>+'A) Reajuste Tarifas y Ocupación'!A16</f>
        <v>DALEGRÍA</v>
      </c>
      <c r="B10" s="166" t="str">
        <f>+'A) Reajuste Tarifas y Ocupación'!B16</f>
        <v>Jornada Completa</v>
      </c>
      <c r="C10" s="297">
        <f>+'A) Reajuste Tarifas y Ocupación'!M16</f>
        <v>83600</v>
      </c>
      <c r="D10" s="291">
        <f>+'A) Reajuste Tarifas y Ocupación'!N16</f>
        <v>119800</v>
      </c>
      <c r="E10" s="291">
        <f>+'A) Reajuste Tarifas y Ocupación'!O16</f>
        <v>119100</v>
      </c>
      <c r="F10" s="291">
        <f>+'A) Reajuste Tarifas y Ocupación'!P16</f>
        <v>119100</v>
      </c>
      <c r="G10" s="298">
        <f>+'A) Reajuste Tarifas y Ocupación'!Q16</f>
        <v>158900</v>
      </c>
      <c r="H10" s="317">
        <f>+'A) Reajuste Tarifas y Ocupación'!C16</f>
        <v>83600</v>
      </c>
      <c r="I10" s="318">
        <f>+'A) Reajuste Tarifas y Ocupación'!D16</f>
        <v>119800</v>
      </c>
      <c r="J10" s="318">
        <f>+'A) Reajuste Tarifas y Ocupación'!E16</f>
        <v>119100</v>
      </c>
      <c r="K10" s="318">
        <f>+'A) Reajuste Tarifas y Ocupación'!F16</f>
        <v>119100</v>
      </c>
      <c r="L10" s="319">
        <f>+'A) Reajuste Tarifas y Ocupación'!G16</f>
        <v>158900</v>
      </c>
      <c r="M10" s="304">
        <f>C10-H10</f>
        <v>0</v>
      </c>
      <c r="N10" s="292">
        <f aca="true" t="shared" si="0" ref="N10:N19">D10-I10</f>
        <v>0</v>
      </c>
      <c r="O10" s="292">
        <f>E10-J10</f>
        <v>0</v>
      </c>
      <c r="P10" s="292">
        <f>F10-K10</f>
        <v>0</v>
      </c>
      <c r="Q10" s="305">
        <f>G10-L10</f>
        <v>0</v>
      </c>
      <c r="R10" s="308">
        <f>+'A) Reajuste Tarifas y Ocupación'!H16</f>
        <v>0</v>
      </c>
      <c r="S10" s="309">
        <f>+'A) Reajuste Tarifas y Ocupación'!I16</f>
        <v>0</v>
      </c>
      <c r="T10" s="309">
        <f>+'A) Reajuste Tarifas y Ocupación'!J16</f>
        <v>0</v>
      </c>
      <c r="U10" s="309">
        <f>+'A) Reajuste Tarifas y Ocupación'!K16</f>
        <v>0</v>
      </c>
      <c r="V10" s="310">
        <f>+'A) Reajuste Tarifas y Ocupación'!L16</f>
        <v>0</v>
      </c>
    </row>
    <row r="11" spans="1:22" s="9" customFormat="1" ht="12.75" customHeight="1">
      <c r="A11" s="550"/>
      <c r="B11" s="167" t="str">
        <f>+'A) Reajuste Tarifas y Ocupación'!B17</f>
        <v>Media Extendida (modalidad escolar)</v>
      </c>
      <c r="C11" s="299">
        <f>+'A) Reajuste Tarifas y Ocupación'!M17</f>
        <v>66300</v>
      </c>
      <c r="D11" s="287">
        <f>+'A) Reajuste Tarifas y Ocupación'!N17</f>
        <v>88600</v>
      </c>
      <c r="E11" s="287">
        <f>+'A) Reajuste Tarifas y Ocupación'!O17</f>
        <v>88900</v>
      </c>
      <c r="F11" s="287">
        <f>+'A) Reajuste Tarifas y Ocupación'!P17</f>
        <v>88900</v>
      </c>
      <c r="G11" s="300">
        <f>+'A) Reajuste Tarifas y Ocupación'!Q17</f>
        <v>121900</v>
      </c>
      <c r="H11" s="320">
        <f>+'A) Reajuste Tarifas y Ocupación'!C17</f>
        <v>66300</v>
      </c>
      <c r="I11" s="321">
        <f>+'A) Reajuste Tarifas y Ocupación'!D17</f>
        <v>88600</v>
      </c>
      <c r="J11" s="321">
        <f>+'A) Reajuste Tarifas y Ocupación'!E17</f>
        <v>88900</v>
      </c>
      <c r="K11" s="321">
        <f>+'A) Reajuste Tarifas y Ocupación'!F17</f>
        <v>88900</v>
      </c>
      <c r="L11" s="322">
        <f>+'A) Reajuste Tarifas y Ocupación'!G17</f>
        <v>121900</v>
      </c>
      <c r="M11" s="110">
        <f aca="true" t="shared" si="1" ref="M11:M19">C11-H11</f>
        <v>0</v>
      </c>
      <c r="N11" s="288">
        <f t="shared" si="0"/>
        <v>0</v>
      </c>
      <c r="O11" s="288">
        <f aca="true" t="shared" si="2" ref="O11:O19">E11-J11</f>
        <v>0</v>
      </c>
      <c r="P11" s="288">
        <f>F11-K11</f>
        <v>0</v>
      </c>
      <c r="Q11" s="306">
        <f>G11-L11</f>
        <v>0</v>
      </c>
      <c r="R11" s="311">
        <f>+'A) Reajuste Tarifas y Ocupación'!H17</f>
        <v>0</v>
      </c>
      <c r="S11" s="312">
        <f>+'A) Reajuste Tarifas y Ocupación'!I17</f>
        <v>0</v>
      </c>
      <c r="T11" s="312">
        <f>+'A) Reajuste Tarifas y Ocupación'!J17</f>
        <v>0</v>
      </c>
      <c r="U11" s="312">
        <f>+'A) Reajuste Tarifas y Ocupación'!K17</f>
        <v>0</v>
      </c>
      <c r="V11" s="313">
        <f>+'A) Reajuste Tarifas y Ocupación'!L17</f>
        <v>0</v>
      </c>
    </row>
    <row r="12" spans="1:22" s="9" customFormat="1" ht="12.75" customHeight="1">
      <c r="A12" s="550"/>
      <c r="B12" s="167" t="str">
        <f>+'A) Reajuste Tarifas y Ocupación'!B18</f>
        <v>Jornada Completa (modalidad escolar)</v>
      </c>
      <c r="C12" s="299">
        <f>+'A) Reajuste Tarifas y Ocupación'!M18</f>
        <v>92900</v>
      </c>
      <c r="D12" s="287">
        <f>+'A) Reajuste Tarifas y Ocupación'!N18</f>
        <v>130200</v>
      </c>
      <c r="E12" s="287">
        <f>+'A) Reajuste Tarifas y Ocupación'!O18</f>
        <v>130400</v>
      </c>
      <c r="F12" s="287">
        <f>+'A) Reajuste Tarifas y Ocupación'!P18</f>
        <v>130400</v>
      </c>
      <c r="G12" s="300">
        <f>+'A) Reajuste Tarifas y Ocupación'!Q18</f>
        <v>161800</v>
      </c>
      <c r="H12" s="320">
        <f>+'A) Reajuste Tarifas y Ocupación'!C18</f>
        <v>92900</v>
      </c>
      <c r="I12" s="321">
        <f>+'A) Reajuste Tarifas y Ocupación'!D18</f>
        <v>130200</v>
      </c>
      <c r="J12" s="321">
        <f>+'A) Reajuste Tarifas y Ocupación'!E18</f>
        <v>130400</v>
      </c>
      <c r="K12" s="321">
        <f>+'A) Reajuste Tarifas y Ocupación'!F18</f>
        <v>130400</v>
      </c>
      <c r="L12" s="322">
        <f>+'A) Reajuste Tarifas y Ocupación'!G18</f>
        <v>161800</v>
      </c>
      <c r="M12" s="110">
        <f t="shared" si="1"/>
        <v>0</v>
      </c>
      <c r="N12" s="288">
        <f t="shared" si="0"/>
        <v>0</v>
      </c>
      <c r="O12" s="288">
        <f t="shared" si="2"/>
        <v>0</v>
      </c>
      <c r="P12" s="288">
        <f aca="true" t="shared" si="3" ref="P12:P19">F12-K12</f>
        <v>0</v>
      </c>
      <c r="Q12" s="306">
        <f aca="true" t="shared" si="4" ref="Q12:Q19">G12-L12</f>
        <v>0</v>
      </c>
      <c r="R12" s="311">
        <f>+'A) Reajuste Tarifas y Ocupación'!H18</f>
        <v>0</v>
      </c>
      <c r="S12" s="312">
        <f>+'A) Reajuste Tarifas y Ocupación'!I18</f>
        <v>0</v>
      </c>
      <c r="T12" s="312">
        <f>+'A) Reajuste Tarifas y Ocupación'!J18</f>
        <v>0</v>
      </c>
      <c r="U12" s="312">
        <f>+'A) Reajuste Tarifas y Ocupación'!K18</f>
        <v>0</v>
      </c>
      <c r="V12" s="313">
        <f>+'A) Reajuste Tarifas y Ocupación'!L18</f>
        <v>0</v>
      </c>
    </row>
    <row r="13" spans="1:22" s="9" customFormat="1" ht="12.75" customHeight="1">
      <c r="A13" s="550"/>
      <c r="B13" s="167" t="str">
        <f>+'A) Reajuste Tarifas y Ocupación'!B19</f>
        <v>Programa Especial (ambulatorio)</v>
      </c>
      <c r="C13" s="299">
        <f>+'A) Reajuste Tarifas y Ocupación'!M19</f>
        <v>58400</v>
      </c>
      <c r="D13" s="287">
        <f>+'A) Reajuste Tarifas y Ocupación'!N19</f>
        <v>88600</v>
      </c>
      <c r="E13" s="287">
        <f>+'A) Reajuste Tarifas y Ocupación'!O19</f>
        <v>88900</v>
      </c>
      <c r="F13" s="287">
        <f>+'A) Reajuste Tarifas y Ocupación'!P19</f>
        <v>88900</v>
      </c>
      <c r="G13" s="300">
        <f>+'A) Reajuste Tarifas y Ocupación'!Q19</f>
        <v>115200</v>
      </c>
      <c r="H13" s="320">
        <f>+'A) Reajuste Tarifas y Ocupación'!C19</f>
        <v>58400</v>
      </c>
      <c r="I13" s="321">
        <f>+'A) Reajuste Tarifas y Ocupación'!D19</f>
        <v>88600</v>
      </c>
      <c r="J13" s="321">
        <f>+'A) Reajuste Tarifas y Ocupación'!E19</f>
        <v>88900</v>
      </c>
      <c r="K13" s="321">
        <f>+'A) Reajuste Tarifas y Ocupación'!F19</f>
        <v>88900</v>
      </c>
      <c r="L13" s="322">
        <f>+'A) Reajuste Tarifas y Ocupación'!G19</f>
        <v>115200</v>
      </c>
      <c r="M13" s="110">
        <f t="shared" si="1"/>
        <v>0</v>
      </c>
      <c r="N13" s="288">
        <f t="shared" si="0"/>
        <v>0</v>
      </c>
      <c r="O13" s="288">
        <f t="shared" si="2"/>
        <v>0</v>
      </c>
      <c r="P13" s="288">
        <f t="shared" si="3"/>
        <v>0</v>
      </c>
      <c r="Q13" s="306">
        <f t="shared" si="4"/>
        <v>0</v>
      </c>
      <c r="R13" s="311">
        <f>+'A) Reajuste Tarifas y Ocupación'!H19</f>
        <v>0</v>
      </c>
      <c r="S13" s="312">
        <f>+'A) Reajuste Tarifas y Ocupación'!I19</f>
        <v>0</v>
      </c>
      <c r="T13" s="312">
        <f>+'A) Reajuste Tarifas y Ocupación'!J19</f>
        <v>0</v>
      </c>
      <c r="U13" s="312">
        <f>+'A) Reajuste Tarifas y Ocupación'!K19</f>
        <v>0</v>
      </c>
      <c r="V13" s="313">
        <f>+'A) Reajuste Tarifas y Ocupación'!L19</f>
        <v>0</v>
      </c>
    </row>
    <row r="14" spans="1:22" s="9" customFormat="1" ht="12.75" customHeight="1">
      <c r="A14" s="550"/>
      <c r="B14" s="167" t="str">
        <f>+'A) Reajuste Tarifas y Ocupación'!B20</f>
        <v>Informes de Evaluación Multidisciplinario</v>
      </c>
      <c r="C14" s="299">
        <f>+'A) Reajuste Tarifas y Ocupación'!M20</f>
        <v>39200</v>
      </c>
      <c r="D14" s="287">
        <f>+'A) Reajuste Tarifas y Ocupación'!N20</f>
        <v>39200</v>
      </c>
      <c r="E14" s="287">
        <f>+'A) Reajuste Tarifas y Ocupación'!O20</f>
        <v>39900</v>
      </c>
      <c r="F14" s="287">
        <f>+'A) Reajuste Tarifas y Ocupación'!P20</f>
        <v>39900</v>
      </c>
      <c r="G14" s="300">
        <f>+'A) Reajuste Tarifas y Ocupación'!Q20</f>
        <v>42100</v>
      </c>
      <c r="H14" s="320">
        <f>+'A) Reajuste Tarifas y Ocupación'!C20</f>
        <v>39200</v>
      </c>
      <c r="I14" s="321">
        <f>+'A) Reajuste Tarifas y Ocupación'!D20</f>
        <v>39200</v>
      </c>
      <c r="J14" s="321">
        <f>+'A) Reajuste Tarifas y Ocupación'!E20</f>
        <v>39900</v>
      </c>
      <c r="K14" s="321">
        <f>+'A) Reajuste Tarifas y Ocupación'!F20</f>
        <v>39900</v>
      </c>
      <c r="L14" s="322">
        <f>+'A) Reajuste Tarifas y Ocupación'!G20</f>
        <v>42100</v>
      </c>
      <c r="M14" s="110">
        <f t="shared" si="1"/>
        <v>0</v>
      </c>
      <c r="N14" s="288">
        <f t="shared" si="0"/>
        <v>0</v>
      </c>
      <c r="O14" s="288">
        <f t="shared" si="2"/>
        <v>0</v>
      </c>
      <c r="P14" s="288">
        <f>F14-K14</f>
        <v>0</v>
      </c>
      <c r="Q14" s="306">
        <f t="shared" si="4"/>
        <v>0</v>
      </c>
      <c r="R14" s="311">
        <f>+'A) Reajuste Tarifas y Ocupación'!H20</f>
        <v>0</v>
      </c>
      <c r="S14" s="312">
        <f>+'A) Reajuste Tarifas y Ocupación'!I20</f>
        <v>0</v>
      </c>
      <c r="T14" s="312">
        <f>+'A) Reajuste Tarifas y Ocupación'!J20</f>
        <v>0</v>
      </c>
      <c r="U14" s="312">
        <f>+'A) Reajuste Tarifas y Ocupación'!K20</f>
        <v>0</v>
      </c>
      <c r="V14" s="313">
        <f>+'A) Reajuste Tarifas y Ocupación'!L20</f>
        <v>0</v>
      </c>
    </row>
    <row r="15" spans="1:22" s="9" customFormat="1" ht="12.75" customHeight="1">
      <c r="A15" s="550"/>
      <c r="B15" s="167" t="str">
        <f>+'A) Reajuste Tarifas y Ocupación'!B21</f>
        <v>Informes de Evaluación Multi - TEA</v>
      </c>
      <c r="C15" s="299">
        <f>+'A) Reajuste Tarifas y Ocupación'!M21</f>
        <v>61900</v>
      </c>
      <c r="D15" s="287">
        <f>+'A) Reajuste Tarifas y Ocupación'!N21</f>
        <v>61900</v>
      </c>
      <c r="E15" s="287">
        <f>+'A) Reajuste Tarifas y Ocupación'!O21</f>
        <v>61900</v>
      </c>
      <c r="F15" s="287">
        <f>+'A) Reajuste Tarifas y Ocupación'!P21</f>
        <v>61900</v>
      </c>
      <c r="G15" s="300">
        <f>+'A) Reajuste Tarifas y Ocupación'!Q21</f>
        <v>66400</v>
      </c>
      <c r="H15" s="320">
        <f>+'A) Reajuste Tarifas y Ocupación'!C21</f>
        <v>61900</v>
      </c>
      <c r="I15" s="321">
        <f>+'A) Reajuste Tarifas y Ocupación'!D21</f>
        <v>61900</v>
      </c>
      <c r="J15" s="321">
        <f>+'A) Reajuste Tarifas y Ocupación'!E21</f>
        <v>61900</v>
      </c>
      <c r="K15" s="321">
        <f>+'A) Reajuste Tarifas y Ocupación'!F21</f>
        <v>61900</v>
      </c>
      <c r="L15" s="322">
        <f>+'A) Reajuste Tarifas y Ocupación'!G21</f>
        <v>66400</v>
      </c>
      <c r="M15" s="110">
        <f t="shared" si="1"/>
        <v>0</v>
      </c>
      <c r="N15" s="288">
        <f t="shared" si="0"/>
        <v>0</v>
      </c>
      <c r="O15" s="288">
        <f t="shared" si="2"/>
        <v>0</v>
      </c>
      <c r="P15" s="288">
        <f>F15-K15</f>
        <v>0</v>
      </c>
      <c r="Q15" s="306">
        <f t="shared" si="4"/>
        <v>0</v>
      </c>
      <c r="R15" s="311">
        <f>+'A) Reajuste Tarifas y Ocupación'!H21</f>
        <v>0</v>
      </c>
      <c r="S15" s="312">
        <f>+'A) Reajuste Tarifas y Ocupación'!I21</f>
        <v>0</v>
      </c>
      <c r="T15" s="312">
        <f>+'A) Reajuste Tarifas y Ocupación'!J21</f>
        <v>0</v>
      </c>
      <c r="U15" s="312">
        <f>+'A) Reajuste Tarifas y Ocupación'!K21</f>
        <v>0</v>
      </c>
      <c r="V15" s="313">
        <f>+'A) Reajuste Tarifas y Ocupación'!L21</f>
        <v>0</v>
      </c>
    </row>
    <row r="16" spans="1:22" s="9" customFormat="1" ht="12.75" customHeight="1">
      <c r="A16" s="550"/>
      <c r="B16" s="167" t="str">
        <f>+'A) Reajuste Tarifas y Ocupación'!B22</f>
        <v>(Nombre de prestación 7)</v>
      </c>
      <c r="C16" s="299">
        <f>+'A) Reajuste Tarifas y Ocupación'!M22</f>
        <v>0</v>
      </c>
      <c r="D16" s="287">
        <f>+'A) Reajuste Tarifas y Ocupación'!N22</f>
        <v>0</v>
      </c>
      <c r="E16" s="287">
        <f>+'A) Reajuste Tarifas y Ocupación'!O22</f>
        <v>0</v>
      </c>
      <c r="F16" s="287">
        <f>+'A) Reajuste Tarifas y Ocupación'!P22</f>
        <v>0</v>
      </c>
      <c r="G16" s="300">
        <f>+'A) Reajuste Tarifas y Ocupación'!Q22</f>
        <v>0</v>
      </c>
      <c r="H16" s="320">
        <f>+'A) Reajuste Tarifas y Ocupación'!C22</f>
        <v>0</v>
      </c>
      <c r="I16" s="321">
        <f>+'A) Reajuste Tarifas y Ocupación'!D22</f>
        <v>0</v>
      </c>
      <c r="J16" s="321">
        <f>+'A) Reajuste Tarifas y Ocupación'!E22</f>
        <v>0</v>
      </c>
      <c r="K16" s="321">
        <f>+'A) Reajuste Tarifas y Ocupación'!F22</f>
        <v>0</v>
      </c>
      <c r="L16" s="322">
        <f>+'A) Reajuste Tarifas y Ocupación'!G22</f>
        <v>0</v>
      </c>
      <c r="M16" s="110">
        <f t="shared" si="1"/>
        <v>0</v>
      </c>
      <c r="N16" s="288">
        <f t="shared" si="0"/>
        <v>0</v>
      </c>
      <c r="O16" s="288">
        <f t="shared" si="2"/>
        <v>0</v>
      </c>
      <c r="P16" s="288">
        <f t="shared" si="3"/>
        <v>0</v>
      </c>
      <c r="Q16" s="306">
        <f t="shared" si="4"/>
        <v>0</v>
      </c>
      <c r="R16" s="311">
        <f>+'A) Reajuste Tarifas y Ocupación'!H22</f>
        <v>0</v>
      </c>
      <c r="S16" s="312">
        <f>+'A) Reajuste Tarifas y Ocupación'!I22</f>
        <v>0</v>
      </c>
      <c r="T16" s="312">
        <f>+'A) Reajuste Tarifas y Ocupación'!J22</f>
        <v>0</v>
      </c>
      <c r="U16" s="312">
        <f>+'A) Reajuste Tarifas y Ocupación'!K22</f>
        <v>0</v>
      </c>
      <c r="V16" s="313">
        <f>+'A) Reajuste Tarifas y Ocupación'!L22</f>
        <v>0</v>
      </c>
    </row>
    <row r="17" spans="1:22" s="9" customFormat="1" ht="12.75" customHeight="1">
      <c r="A17" s="550"/>
      <c r="B17" s="167" t="str">
        <f>+'A) Reajuste Tarifas y Ocupación'!B23</f>
        <v>(Nombre de prestación 8)</v>
      </c>
      <c r="C17" s="299">
        <f>+'A) Reajuste Tarifas y Ocupación'!M23</f>
        <v>0</v>
      </c>
      <c r="D17" s="287">
        <f>+'A) Reajuste Tarifas y Ocupación'!N23</f>
        <v>0</v>
      </c>
      <c r="E17" s="287">
        <f>+'A) Reajuste Tarifas y Ocupación'!O23</f>
        <v>0</v>
      </c>
      <c r="F17" s="287">
        <f>+'A) Reajuste Tarifas y Ocupación'!P23</f>
        <v>0</v>
      </c>
      <c r="G17" s="300">
        <f>+'A) Reajuste Tarifas y Ocupación'!Q23</f>
        <v>0</v>
      </c>
      <c r="H17" s="320">
        <f>+'A) Reajuste Tarifas y Ocupación'!C23</f>
        <v>0</v>
      </c>
      <c r="I17" s="321">
        <f>+'A) Reajuste Tarifas y Ocupación'!D23</f>
        <v>0</v>
      </c>
      <c r="J17" s="321">
        <f>+'A) Reajuste Tarifas y Ocupación'!E23</f>
        <v>0</v>
      </c>
      <c r="K17" s="321">
        <f>+'A) Reajuste Tarifas y Ocupación'!F23</f>
        <v>0</v>
      </c>
      <c r="L17" s="322">
        <f>+'A) Reajuste Tarifas y Ocupación'!G23</f>
        <v>0</v>
      </c>
      <c r="M17" s="110">
        <f t="shared" si="1"/>
        <v>0</v>
      </c>
      <c r="N17" s="288">
        <f t="shared" si="0"/>
        <v>0</v>
      </c>
      <c r="O17" s="288">
        <f t="shared" si="2"/>
        <v>0</v>
      </c>
      <c r="P17" s="288">
        <f t="shared" si="3"/>
        <v>0</v>
      </c>
      <c r="Q17" s="306">
        <f t="shared" si="4"/>
        <v>0</v>
      </c>
      <c r="R17" s="311">
        <f>+'A) Reajuste Tarifas y Ocupación'!H23</f>
        <v>0</v>
      </c>
      <c r="S17" s="312">
        <f>+'A) Reajuste Tarifas y Ocupación'!I23</f>
        <v>0</v>
      </c>
      <c r="T17" s="312">
        <f>+'A) Reajuste Tarifas y Ocupación'!J23</f>
        <v>0</v>
      </c>
      <c r="U17" s="312">
        <f>+'A) Reajuste Tarifas y Ocupación'!K23</f>
        <v>0</v>
      </c>
      <c r="V17" s="313">
        <f>+'A) Reajuste Tarifas y Ocupación'!L23</f>
        <v>0</v>
      </c>
    </row>
    <row r="18" spans="1:22" s="9" customFormat="1" ht="12.75" customHeight="1">
      <c r="A18" s="550"/>
      <c r="B18" s="167" t="str">
        <f>+'A) Reajuste Tarifas y Ocupación'!B24</f>
        <v>(Nombre de prestación 9)</v>
      </c>
      <c r="C18" s="299">
        <f>+'A) Reajuste Tarifas y Ocupación'!M24</f>
        <v>0</v>
      </c>
      <c r="D18" s="287">
        <f>+'A) Reajuste Tarifas y Ocupación'!N24</f>
        <v>0</v>
      </c>
      <c r="E18" s="287">
        <f>+'A) Reajuste Tarifas y Ocupación'!O24</f>
        <v>0</v>
      </c>
      <c r="F18" s="287">
        <f>+'A) Reajuste Tarifas y Ocupación'!P24</f>
        <v>0</v>
      </c>
      <c r="G18" s="300">
        <f>+'A) Reajuste Tarifas y Ocupación'!Q24</f>
        <v>0</v>
      </c>
      <c r="H18" s="320">
        <f>+'A) Reajuste Tarifas y Ocupación'!C24</f>
        <v>0</v>
      </c>
      <c r="I18" s="321">
        <f>+'A) Reajuste Tarifas y Ocupación'!D24</f>
        <v>0</v>
      </c>
      <c r="J18" s="321">
        <f>+'A) Reajuste Tarifas y Ocupación'!E24</f>
        <v>0</v>
      </c>
      <c r="K18" s="321">
        <f>+'A) Reajuste Tarifas y Ocupación'!F24</f>
        <v>0</v>
      </c>
      <c r="L18" s="322">
        <f>+'A) Reajuste Tarifas y Ocupación'!G24</f>
        <v>0</v>
      </c>
      <c r="M18" s="110">
        <f t="shared" si="1"/>
        <v>0</v>
      </c>
      <c r="N18" s="288">
        <f t="shared" si="0"/>
        <v>0</v>
      </c>
      <c r="O18" s="288">
        <f t="shared" si="2"/>
        <v>0</v>
      </c>
      <c r="P18" s="288">
        <f t="shared" si="3"/>
        <v>0</v>
      </c>
      <c r="Q18" s="306">
        <f t="shared" si="4"/>
        <v>0</v>
      </c>
      <c r="R18" s="311">
        <f>+'A) Reajuste Tarifas y Ocupación'!H24</f>
        <v>0</v>
      </c>
      <c r="S18" s="312">
        <f>+'A) Reajuste Tarifas y Ocupación'!I24</f>
        <v>0</v>
      </c>
      <c r="T18" s="312">
        <f>+'A) Reajuste Tarifas y Ocupación'!J24</f>
        <v>0</v>
      </c>
      <c r="U18" s="312">
        <f>+'A) Reajuste Tarifas y Ocupación'!K24</f>
        <v>0</v>
      </c>
      <c r="V18" s="313">
        <f>+'A) Reajuste Tarifas y Ocupación'!L24</f>
        <v>0</v>
      </c>
    </row>
    <row r="19" spans="1:22" s="9" customFormat="1" ht="13.5" customHeight="1" thickBot="1">
      <c r="A19" s="551"/>
      <c r="B19" s="168" t="str">
        <f>+'A) Reajuste Tarifas y Ocupación'!B25</f>
        <v>(Nombre de prestación 10)</v>
      </c>
      <c r="C19" s="301">
        <f>+'A) Reajuste Tarifas y Ocupación'!M25</f>
        <v>0</v>
      </c>
      <c r="D19" s="289">
        <f>+'A) Reajuste Tarifas y Ocupación'!N25</f>
        <v>0</v>
      </c>
      <c r="E19" s="289">
        <f>+'A) Reajuste Tarifas y Ocupación'!O25</f>
        <v>0</v>
      </c>
      <c r="F19" s="289">
        <f>+'A) Reajuste Tarifas y Ocupación'!P25</f>
        <v>0</v>
      </c>
      <c r="G19" s="302">
        <f>+'A) Reajuste Tarifas y Ocupación'!Q25</f>
        <v>0</v>
      </c>
      <c r="H19" s="323">
        <f>+'A) Reajuste Tarifas y Ocupación'!C25</f>
        <v>0</v>
      </c>
      <c r="I19" s="324">
        <f>+'A) Reajuste Tarifas y Ocupación'!D25</f>
        <v>0</v>
      </c>
      <c r="J19" s="324">
        <f>+'A) Reajuste Tarifas y Ocupación'!E25</f>
        <v>0</v>
      </c>
      <c r="K19" s="324">
        <f>+'A) Reajuste Tarifas y Ocupación'!F25</f>
        <v>0</v>
      </c>
      <c r="L19" s="325">
        <f>+'A) Reajuste Tarifas y Ocupación'!G25</f>
        <v>0</v>
      </c>
      <c r="M19" s="111">
        <f t="shared" si="1"/>
        <v>0</v>
      </c>
      <c r="N19" s="290">
        <f t="shared" si="0"/>
        <v>0</v>
      </c>
      <c r="O19" s="290">
        <f t="shared" si="2"/>
        <v>0</v>
      </c>
      <c r="P19" s="290">
        <f t="shared" si="3"/>
        <v>0</v>
      </c>
      <c r="Q19" s="307">
        <f t="shared" si="4"/>
        <v>0</v>
      </c>
      <c r="R19" s="314">
        <f>+'A) Reajuste Tarifas y Ocupación'!H25</f>
        <v>0</v>
      </c>
      <c r="S19" s="315">
        <f>+'A) Reajuste Tarifas y Ocupación'!I25</f>
        <v>0</v>
      </c>
      <c r="T19" s="315">
        <f>+'A) Reajuste Tarifas y Ocupación'!J25</f>
        <v>0</v>
      </c>
      <c r="U19" s="315">
        <f>+'A) Reajuste Tarifas y Ocupación'!K25</f>
        <v>0</v>
      </c>
      <c r="V19" s="316">
        <f>+'A) Reajuste Tarifas y Ocupación'!L25</f>
        <v>0</v>
      </c>
    </row>
  </sheetData>
  <sheetProtection password="9C6E" sheet="1"/>
  <mergeCells count="8">
    <mergeCell ref="R8:V8"/>
    <mergeCell ref="A6:C6"/>
    <mergeCell ref="C8:G8"/>
    <mergeCell ref="H8:L8"/>
    <mergeCell ref="M8:Q8"/>
    <mergeCell ref="A10:A19"/>
    <mergeCell ref="A8:A9"/>
    <mergeCell ref="B8:B9"/>
  </mergeCells>
  <printOptions/>
  <pageMargins left="0.75" right="0.75" top="1" bottom="0.6458333333333334" header="0" footer="0.5118055555555555"/>
  <pageSetup fitToHeight="14" fitToWidth="1" horizontalDpi="300" verticalDpi="300" orientation="landscape" r:id="rId1"/>
  <headerFooter alignWithMargins="0">
    <oddHeader>&amp;LSEPT - 2004&amp;CDIRECTIVA D.B.S.A.ORDINARIA&amp;R02-BS0307/02Pag &amp;P de &amp;N/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128"/>
  <sheetViews>
    <sheetView showGridLines="0" zoomScale="80" zoomScaleNormal="80" zoomScalePageLayoutView="0" workbookViewId="0" topLeftCell="A113">
      <selection activeCell="I28" sqref="I28"/>
    </sheetView>
  </sheetViews>
  <sheetFormatPr defaultColWidth="11.421875" defaultRowHeight="12.75"/>
  <cols>
    <col min="1" max="1" width="11.421875" style="85" customWidth="1"/>
    <col min="2" max="2" width="48.140625" style="85" customWidth="1"/>
    <col min="3" max="3" width="19.57421875" style="85" customWidth="1"/>
    <col min="4" max="4" width="19.140625" style="85" customWidth="1"/>
    <col min="5" max="5" width="19.7109375" style="85" customWidth="1"/>
    <col min="6" max="6" width="21.140625" style="85" customWidth="1"/>
    <col min="7" max="7" width="14.8515625" style="85" customWidth="1"/>
    <col min="8" max="8" width="13.421875" style="85" customWidth="1"/>
    <col min="9" max="9" width="11.421875" style="85" customWidth="1"/>
    <col min="10" max="10" width="17.57421875" style="85" customWidth="1"/>
    <col min="11" max="11" width="21.421875" style="85" customWidth="1"/>
    <col min="12" max="16384" width="11.421875" style="85" customWidth="1"/>
  </cols>
  <sheetData>
    <row r="1" spans="10:11" s="80" customFormat="1" ht="12.75">
      <c r="J1" s="47" t="s">
        <v>101</v>
      </c>
      <c r="K1" s="6"/>
    </row>
    <row r="2" spans="10:11" s="80" customFormat="1" ht="12.75">
      <c r="J2" s="47" t="s">
        <v>74</v>
      </c>
      <c r="K2" s="6"/>
    </row>
    <row r="3" s="80" customFormat="1" ht="12.75"/>
    <row r="4" spans="9:11" s="80" customFormat="1" ht="19.5" customHeight="1">
      <c r="I4" s="74" t="s">
        <v>0</v>
      </c>
      <c r="J4" s="641" t="str">
        <f>+'A) Reajuste Tarifas y Ocupación'!D9</f>
        <v>BIENVALP</v>
      </c>
      <c r="K4" s="642"/>
    </row>
    <row r="5" s="80" customFormat="1" ht="12.75"/>
    <row r="6" spans="1:16" s="80" customFormat="1" ht="12.75" customHeight="1">
      <c r="A6" s="60" t="s">
        <v>84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6" ht="12.75">
      <c r="A8" s="86"/>
      <c r="B8" s="480" t="s">
        <v>403</v>
      </c>
      <c r="C8" s="476" t="s">
        <v>406</v>
      </c>
      <c r="D8" s="86"/>
      <c r="E8" s="486" t="s">
        <v>443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16" ht="12.75">
      <c r="A9" s="86"/>
      <c r="B9" s="477" t="s">
        <v>407</v>
      </c>
      <c r="C9" s="478">
        <v>25000000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</row>
    <row r="10" spans="1:16" ht="12.75">
      <c r="A10" s="86"/>
      <c r="B10" s="477" t="s">
        <v>408</v>
      </c>
      <c r="C10" s="478">
        <v>31000000</v>
      </c>
      <c r="D10" s="86"/>
      <c r="E10" s="493" t="s">
        <v>421</v>
      </c>
      <c r="F10" s="494">
        <f>'E) Resumen Ingresos y Egresos'!J9</f>
        <v>-45370607.474999964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1:16" ht="25.5">
      <c r="A11" s="86"/>
      <c r="B11" s="477" t="s">
        <v>404</v>
      </c>
      <c r="C11" s="478">
        <f>'C) Remuneraciones'!K14+'C) Remuneraciones'!K25</f>
        <v>38975285.49</v>
      </c>
      <c r="D11" s="376"/>
      <c r="E11" s="495" t="s">
        <v>423</v>
      </c>
      <c r="F11" s="496" t="s">
        <v>422</v>
      </c>
      <c r="G11" s="376"/>
      <c r="H11" s="376"/>
      <c r="I11" s="376"/>
      <c r="J11" s="376"/>
      <c r="K11" s="376"/>
      <c r="L11" s="376"/>
      <c r="M11" s="86"/>
      <c r="N11" s="86"/>
      <c r="O11" s="86"/>
      <c r="P11" s="86"/>
    </row>
    <row r="12" spans="1:16" ht="12.75">
      <c r="A12" s="86"/>
      <c r="B12" s="477" t="s">
        <v>409</v>
      </c>
      <c r="C12" s="478">
        <v>15000000</v>
      </c>
      <c r="D12" s="376"/>
      <c r="E12" s="376"/>
      <c r="F12" s="376"/>
      <c r="G12" s="376"/>
      <c r="H12" s="376"/>
      <c r="I12" s="376"/>
      <c r="J12" s="376"/>
      <c r="K12" s="376"/>
      <c r="L12" s="376"/>
      <c r="M12" s="86"/>
      <c r="N12" s="86"/>
      <c r="O12" s="86"/>
      <c r="P12" s="86"/>
    </row>
    <row r="13" spans="1:16" ht="12.75">
      <c r="A13" s="86"/>
      <c r="B13" s="479" t="s">
        <v>405</v>
      </c>
      <c r="C13" s="481">
        <f>SUM(C9:C12)</f>
        <v>109975285.49000001</v>
      </c>
      <c r="D13" s="376"/>
      <c r="E13" s="376"/>
      <c r="F13" s="376"/>
      <c r="G13" s="376"/>
      <c r="H13" s="376"/>
      <c r="I13" s="376"/>
      <c r="J13" s="376"/>
      <c r="K13" s="376"/>
      <c r="L13" s="376"/>
      <c r="M13" s="86"/>
      <c r="N13" s="86"/>
      <c r="O13" s="86"/>
      <c r="P13" s="86"/>
    </row>
    <row r="14" spans="1:12" ht="12.75">
      <c r="A14" s="86"/>
      <c r="B14" s="449"/>
      <c r="C14" s="450"/>
      <c r="D14" s="450"/>
      <c r="E14" s="450"/>
      <c r="F14" s="345"/>
      <c r="G14" s="345"/>
      <c r="H14" s="345"/>
      <c r="I14" s="345"/>
      <c r="J14" s="345"/>
      <c r="K14" s="345"/>
      <c r="L14" s="345"/>
    </row>
    <row r="15" spans="2:12" ht="12.75"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</row>
    <row r="16" spans="2:12" ht="12.75">
      <c r="B16" s="451" t="s">
        <v>193</v>
      </c>
      <c r="C16" s="452"/>
      <c r="D16" s="453"/>
      <c r="E16" s="453" t="s">
        <v>345</v>
      </c>
      <c r="F16" s="441"/>
      <c r="G16" s="441"/>
      <c r="H16" s="441"/>
      <c r="I16" s="441"/>
      <c r="J16" s="441"/>
      <c r="K16" s="441"/>
      <c r="L16" s="443"/>
    </row>
    <row r="17" spans="2:12" ht="12.75">
      <c r="B17" s="368" t="s">
        <v>11</v>
      </c>
      <c r="C17" s="446"/>
      <c r="D17" s="447"/>
      <c r="E17" s="447"/>
      <c r="F17" s="447"/>
      <c r="G17" s="447"/>
      <c r="H17" s="447"/>
      <c r="I17" s="447"/>
      <c r="J17" s="447"/>
      <c r="K17" s="447"/>
      <c r="L17" s="448"/>
    </row>
    <row r="18" spans="2:12" ht="12.75">
      <c r="B18" s="511"/>
      <c r="C18" s="444"/>
      <c r="D18" s="345"/>
      <c r="E18" s="345"/>
      <c r="F18" s="345"/>
      <c r="G18" s="345"/>
      <c r="H18" s="345"/>
      <c r="I18" s="345"/>
      <c r="J18" s="345"/>
      <c r="K18" s="345"/>
      <c r="L18" s="445"/>
    </row>
    <row r="19" spans="2:12" ht="12.75">
      <c r="B19" s="511"/>
      <c r="C19" s="444"/>
      <c r="D19" s="345"/>
      <c r="E19" s="345"/>
      <c r="F19" s="345"/>
      <c r="G19" s="345"/>
      <c r="H19" s="345"/>
      <c r="I19" s="345"/>
      <c r="J19" s="345"/>
      <c r="K19" s="345"/>
      <c r="L19" s="445"/>
    </row>
    <row r="20" spans="2:12" ht="12.75">
      <c r="B20" s="511"/>
      <c r="C20" s="444"/>
      <c r="D20" s="345"/>
      <c r="E20" s="345"/>
      <c r="F20" s="345"/>
      <c r="G20" s="345"/>
      <c r="H20" s="345"/>
      <c r="I20" s="345"/>
      <c r="J20" s="345"/>
      <c r="K20" s="345"/>
      <c r="L20" s="445"/>
    </row>
    <row r="21" spans="2:12" ht="12.75">
      <c r="B21" s="369" t="s">
        <v>131</v>
      </c>
      <c r="C21" s="440" t="s">
        <v>219</v>
      </c>
      <c r="D21" s="441"/>
      <c r="E21" s="441"/>
      <c r="F21" s="442"/>
      <c r="G21" s="441"/>
      <c r="H21" s="441"/>
      <c r="I21" s="441"/>
      <c r="J21" s="441"/>
      <c r="K21" s="441"/>
      <c r="L21" s="443"/>
    </row>
    <row r="22" spans="2:12" ht="12.75">
      <c r="B22" s="370"/>
      <c r="C22" s="444"/>
      <c r="D22" s="345"/>
      <c r="E22" s="345"/>
      <c r="F22" s="346"/>
      <c r="G22" s="345"/>
      <c r="H22" s="345"/>
      <c r="I22" s="345"/>
      <c r="J22" s="345"/>
      <c r="K22" s="345"/>
      <c r="L22" s="445"/>
    </row>
    <row r="23" spans="2:12" ht="12.75">
      <c r="B23" s="370" t="s">
        <v>13</v>
      </c>
      <c r="C23" s="444" t="s">
        <v>346</v>
      </c>
      <c r="D23" s="457">
        <f>K125</f>
        <v>1755426</v>
      </c>
      <c r="E23" s="345"/>
      <c r="F23" s="346"/>
      <c r="G23" s="345"/>
      <c r="H23" s="345"/>
      <c r="I23" s="345"/>
      <c r="J23" s="345"/>
      <c r="K23" s="345"/>
      <c r="L23" s="445"/>
    </row>
    <row r="24" spans="2:12" ht="12.75">
      <c r="B24" s="370"/>
      <c r="C24" s="444"/>
      <c r="D24" s="345"/>
      <c r="E24" s="345"/>
      <c r="F24" s="346"/>
      <c r="G24" s="345"/>
      <c r="H24" s="345"/>
      <c r="I24" s="345"/>
      <c r="J24" s="345"/>
      <c r="K24" s="345"/>
      <c r="L24" s="445"/>
    </row>
    <row r="25" spans="2:12" ht="12.75">
      <c r="B25" s="482" t="s">
        <v>132</v>
      </c>
      <c r="C25" s="483" t="s">
        <v>412</v>
      </c>
      <c r="D25" s="484"/>
      <c r="E25" s="484"/>
      <c r="F25" s="485"/>
      <c r="G25" s="345"/>
      <c r="H25" s="345"/>
      <c r="I25" s="345"/>
      <c r="J25" s="345"/>
      <c r="K25" s="345"/>
      <c r="L25" s="445"/>
    </row>
    <row r="26" spans="2:12" ht="12.75">
      <c r="B26" s="370"/>
      <c r="C26" s="444"/>
      <c r="D26" s="345"/>
      <c r="E26" s="345"/>
      <c r="F26" s="346"/>
      <c r="G26" s="345"/>
      <c r="H26" s="345"/>
      <c r="I26" s="345"/>
      <c r="J26" s="345"/>
      <c r="K26" s="345"/>
      <c r="L26" s="445"/>
    </row>
    <row r="27" spans="2:12" ht="12.75">
      <c r="B27" s="370" t="s">
        <v>343</v>
      </c>
      <c r="C27" s="444" t="s">
        <v>341</v>
      </c>
      <c r="D27" s="345"/>
      <c r="E27" s="345"/>
      <c r="F27" s="346"/>
      <c r="G27" s="345"/>
      <c r="H27" s="345"/>
      <c r="I27" s="345"/>
      <c r="J27" s="345"/>
      <c r="K27" s="345"/>
      <c r="L27" s="445"/>
    </row>
    <row r="28" spans="2:12" ht="12.75">
      <c r="B28" s="370"/>
      <c r="C28" s="444"/>
      <c r="D28" s="345"/>
      <c r="E28" s="345"/>
      <c r="F28" s="346"/>
      <c r="G28" s="345"/>
      <c r="H28" s="345"/>
      <c r="I28" s="345"/>
      <c r="J28" s="345"/>
      <c r="K28" s="345"/>
      <c r="L28" s="445"/>
    </row>
    <row r="29" spans="2:12" ht="12.75">
      <c r="B29" s="370" t="s">
        <v>344</v>
      </c>
      <c r="C29" s="444" t="s">
        <v>342</v>
      </c>
      <c r="D29" s="345"/>
      <c r="E29" s="345"/>
      <c r="F29" s="346"/>
      <c r="G29" s="345"/>
      <c r="H29" s="345"/>
      <c r="I29" s="345"/>
      <c r="J29" s="345"/>
      <c r="K29" s="345"/>
      <c r="L29" s="445"/>
    </row>
    <row r="30" spans="2:12" ht="12.75">
      <c r="B30" s="370"/>
      <c r="C30" s="444"/>
      <c r="D30" s="345"/>
      <c r="E30" s="345"/>
      <c r="F30" s="346"/>
      <c r="G30" s="345"/>
      <c r="H30" s="345"/>
      <c r="I30" s="345"/>
      <c r="J30" s="345"/>
      <c r="K30" s="345"/>
      <c r="L30" s="445"/>
    </row>
    <row r="31" spans="2:12" ht="12.75">
      <c r="B31" s="370" t="s">
        <v>133</v>
      </c>
      <c r="C31" s="444" t="s">
        <v>215</v>
      </c>
      <c r="D31" s="345"/>
      <c r="E31" s="345"/>
      <c r="F31" s="346"/>
      <c r="G31" s="345"/>
      <c r="H31" s="345"/>
      <c r="I31" s="345"/>
      <c r="J31" s="345"/>
      <c r="K31" s="345"/>
      <c r="L31" s="445"/>
    </row>
    <row r="32" spans="2:12" ht="12.75">
      <c r="B32" s="370"/>
      <c r="C32" s="444"/>
      <c r="D32" s="345"/>
      <c r="E32" s="345"/>
      <c r="F32" s="346"/>
      <c r="G32" s="345"/>
      <c r="H32" s="345"/>
      <c r="I32" s="345"/>
      <c r="J32" s="345"/>
      <c r="K32" s="345"/>
      <c r="L32" s="445"/>
    </row>
    <row r="33" spans="2:12" ht="12.75">
      <c r="B33" s="371" t="s">
        <v>135</v>
      </c>
      <c r="C33" s="446" t="s">
        <v>410</v>
      </c>
      <c r="D33" s="447"/>
      <c r="E33" s="447"/>
      <c r="F33" s="447"/>
      <c r="G33" s="447"/>
      <c r="H33" s="447"/>
      <c r="I33" s="447"/>
      <c r="J33" s="447"/>
      <c r="K33" s="447"/>
      <c r="L33" s="448"/>
    </row>
    <row r="34" ht="12.75">
      <c r="B34" s="345"/>
    </row>
    <row r="35" spans="2:12" ht="12.75">
      <c r="B35" s="372" t="s">
        <v>22</v>
      </c>
      <c r="C35" s="454"/>
      <c r="D35" s="377"/>
      <c r="E35" s="377"/>
      <c r="F35" s="377"/>
      <c r="G35" s="377"/>
      <c r="H35" s="377"/>
      <c r="I35" s="377"/>
      <c r="J35" s="377"/>
      <c r="K35" s="377"/>
      <c r="L35" s="378"/>
    </row>
    <row r="36" spans="2:12" ht="12.75">
      <c r="B36" s="373"/>
      <c r="C36" s="440"/>
      <c r="D36" s="441"/>
      <c r="E36" s="441"/>
      <c r="F36" s="442"/>
      <c r="G36" s="441"/>
      <c r="H36" s="441"/>
      <c r="I36" s="441"/>
      <c r="J36" s="441"/>
      <c r="K36" s="441"/>
      <c r="L36" s="443"/>
    </row>
    <row r="37" spans="2:12" ht="12.75">
      <c r="B37" s="370" t="s">
        <v>136</v>
      </c>
      <c r="C37" s="444" t="s">
        <v>240</v>
      </c>
      <c r="D37" s="345"/>
      <c r="E37" s="345"/>
      <c r="F37" s="346"/>
      <c r="G37" s="345"/>
      <c r="H37" s="345"/>
      <c r="I37" s="345"/>
      <c r="J37" s="345"/>
      <c r="K37" s="345"/>
      <c r="L37" s="445"/>
    </row>
    <row r="38" spans="2:12" ht="12.75">
      <c r="B38" s="374"/>
      <c r="C38" s="444"/>
      <c r="D38" s="345"/>
      <c r="E38" s="345"/>
      <c r="F38" s="346"/>
      <c r="G38" s="345"/>
      <c r="H38" s="345"/>
      <c r="I38" s="345"/>
      <c r="J38" s="345"/>
      <c r="K38" s="345"/>
      <c r="L38" s="445"/>
    </row>
    <row r="39" spans="2:12" ht="12.75">
      <c r="B39" s="370" t="s">
        <v>24</v>
      </c>
      <c r="C39" s="444" t="s">
        <v>411</v>
      </c>
      <c r="D39" s="345"/>
      <c r="E39" s="345"/>
      <c r="F39" s="346"/>
      <c r="G39" s="345"/>
      <c r="H39" s="345"/>
      <c r="I39" s="345"/>
      <c r="J39" s="345"/>
      <c r="K39" s="345"/>
      <c r="L39" s="445"/>
    </row>
    <row r="40" spans="2:12" ht="12.75">
      <c r="B40" s="374"/>
      <c r="C40" s="444"/>
      <c r="D40" s="345"/>
      <c r="E40" s="345"/>
      <c r="F40" s="345"/>
      <c r="G40" s="345"/>
      <c r="H40" s="345"/>
      <c r="I40" s="345"/>
      <c r="J40" s="345"/>
      <c r="K40" s="345"/>
      <c r="L40" s="445"/>
    </row>
    <row r="41" spans="2:12" ht="12.75">
      <c r="B41" s="370" t="s">
        <v>139</v>
      </c>
      <c r="C41" s="444" t="s">
        <v>251</v>
      </c>
      <c r="D41" s="386"/>
      <c r="E41" s="345"/>
      <c r="F41" s="345"/>
      <c r="G41" s="345"/>
      <c r="H41" s="345"/>
      <c r="I41" s="345"/>
      <c r="J41" s="345"/>
      <c r="K41" s="345"/>
      <c r="L41" s="445"/>
    </row>
    <row r="42" spans="2:12" ht="12.75">
      <c r="B42" s="370"/>
      <c r="C42" s="444"/>
      <c r="D42" s="345"/>
      <c r="E42" s="345"/>
      <c r="F42" s="345"/>
      <c r="G42" s="345"/>
      <c r="H42" s="345"/>
      <c r="I42" s="345"/>
      <c r="J42" s="345"/>
      <c r="K42" s="345"/>
      <c r="L42" s="445"/>
    </row>
    <row r="43" spans="2:12" ht="12.75">
      <c r="B43" s="370" t="s">
        <v>31</v>
      </c>
      <c r="C43" s="444" t="s">
        <v>239</v>
      </c>
      <c r="D43" s="345"/>
      <c r="E43" s="345"/>
      <c r="F43" s="346"/>
      <c r="G43" s="345"/>
      <c r="H43" s="345"/>
      <c r="I43" s="345"/>
      <c r="J43" s="345"/>
      <c r="K43" s="345"/>
      <c r="L43" s="445"/>
    </row>
    <row r="44" spans="2:12" ht="12.75">
      <c r="B44" s="370"/>
      <c r="C44" s="444"/>
      <c r="D44" s="345"/>
      <c r="E44" s="345"/>
      <c r="F44" s="346"/>
      <c r="G44" s="345"/>
      <c r="H44" s="345"/>
      <c r="I44" s="345"/>
      <c r="J44" s="345"/>
      <c r="K44" s="345"/>
      <c r="L44" s="445"/>
    </row>
    <row r="45" spans="2:12" ht="12.75">
      <c r="B45" s="370" t="s">
        <v>32</v>
      </c>
      <c r="C45" s="444" t="s">
        <v>413</v>
      </c>
      <c r="D45" s="345"/>
      <c r="E45" s="345"/>
      <c r="F45" s="346"/>
      <c r="G45" s="345"/>
      <c r="H45" s="345"/>
      <c r="I45" s="345"/>
      <c r="J45" s="345"/>
      <c r="K45" s="345"/>
      <c r="L45" s="445"/>
    </row>
    <row r="46" spans="2:12" ht="12.75">
      <c r="B46" s="370"/>
      <c r="C46" s="444"/>
      <c r="D46" s="345"/>
      <c r="E46" s="345"/>
      <c r="F46" s="346"/>
      <c r="G46" s="345"/>
      <c r="H46" s="345"/>
      <c r="I46" s="345"/>
      <c r="J46" s="345"/>
      <c r="K46" s="345"/>
      <c r="L46" s="445"/>
    </row>
    <row r="47" spans="2:12" ht="12.75">
      <c r="B47" s="370" t="s">
        <v>141</v>
      </c>
      <c r="C47" s="444" t="s">
        <v>216</v>
      </c>
      <c r="D47" s="345"/>
      <c r="E47" s="345"/>
      <c r="F47" s="346"/>
      <c r="G47" s="345"/>
      <c r="H47" s="345"/>
      <c r="I47" s="345"/>
      <c r="J47" s="345"/>
      <c r="K47" s="345"/>
      <c r="L47" s="445"/>
    </row>
    <row r="48" spans="2:12" ht="12.75">
      <c r="B48" s="375"/>
      <c r="C48" s="446"/>
      <c r="D48" s="447"/>
      <c r="E48" s="447"/>
      <c r="F48" s="455"/>
      <c r="G48" s="447"/>
      <c r="H48" s="447"/>
      <c r="I48" s="447"/>
      <c r="J48" s="447"/>
      <c r="K48" s="447"/>
      <c r="L48" s="448"/>
    </row>
    <row r="49" ht="12.75"/>
    <row r="50" spans="2:12" ht="12.75">
      <c r="B50" s="347" t="s">
        <v>217</v>
      </c>
      <c r="C50" s="454" t="s">
        <v>218</v>
      </c>
      <c r="D50" s="377"/>
      <c r="E50" s="456"/>
      <c r="F50" s="377"/>
      <c r="G50" s="377"/>
      <c r="H50" s="377"/>
      <c r="I50" s="377"/>
      <c r="J50" s="377"/>
      <c r="K50" s="377"/>
      <c r="L50" s="378"/>
    </row>
    <row r="51" ht="12.75">
      <c r="F51" s="88"/>
    </row>
    <row r="52" ht="12.75">
      <c r="F52" s="88"/>
    </row>
    <row r="53" ht="12.75">
      <c r="F53" s="88"/>
    </row>
    <row r="54" ht="12.75"/>
    <row r="55" ht="12.75">
      <c r="B55" s="387" t="s">
        <v>241</v>
      </c>
    </row>
    <row r="56" ht="12.75"/>
    <row r="57" spans="2:10" ht="12.75">
      <c r="B57" s="354" t="s">
        <v>230</v>
      </c>
      <c r="C57"/>
      <c r="D57"/>
      <c r="E57"/>
      <c r="F57"/>
      <c r="G57"/>
      <c r="H57"/>
      <c r="I57"/>
      <c r="J57"/>
    </row>
    <row r="58" spans="2:11" ht="12.75">
      <c r="B58" s="355" t="s">
        <v>243</v>
      </c>
      <c r="C58" s="379" t="s">
        <v>231</v>
      </c>
      <c r="D58" s="380" t="s">
        <v>232</v>
      </c>
      <c r="E58" s="380" t="s">
        <v>233</v>
      </c>
      <c r="F58" s="381" t="s">
        <v>234</v>
      </c>
      <c r="G58" s="356"/>
      <c r="H58" s="355" t="s">
        <v>235</v>
      </c>
      <c r="I58" s="357" t="s">
        <v>236</v>
      </c>
      <c r="J58" s="433" t="s">
        <v>335</v>
      </c>
      <c r="K58" s="373" t="s">
        <v>428</v>
      </c>
    </row>
    <row r="59" spans="2:11" ht="12.75">
      <c r="B59" s="358" t="s">
        <v>244</v>
      </c>
      <c r="C59" s="382"/>
      <c r="D59" s="383"/>
      <c r="E59" s="383"/>
      <c r="F59" s="384"/>
      <c r="G59" s="360"/>
      <c r="H59" s="359">
        <v>10</v>
      </c>
      <c r="I59" s="361">
        <v>10</v>
      </c>
      <c r="J59" s="434">
        <v>2</v>
      </c>
      <c r="K59" s="375">
        <v>50</v>
      </c>
    </row>
    <row r="60" spans="2:11" ht="12.75">
      <c r="B60" s="358" t="s">
        <v>242</v>
      </c>
      <c r="C60" s="355" t="s">
        <v>237</v>
      </c>
      <c r="D60" s="355" t="s">
        <v>237</v>
      </c>
      <c r="E60" s="355" t="s">
        <v>237</v>
      </c>
      <c r="F60" s="362" t="s">
        <v>237</v>
      </c>
      <c r="G60" s="362"/>
      <c r="H60" s="362" t="s">
        <v>238</v>
      </c>
      <c r="I60" s="362" t="s">
        <v>238</v>
      </c>
      <c r="J60" s="433" t="s">
        <v>237</v>
      </c>
      <c r="K60" s="373" t="s">
        <v>237</v>
      </c>
    </row>
    <row r="61" spans="2:11" ht="12.75">
      <c r="B61" s="363" t="s">
        <v>245</v>
      </c>
      <c r="C61" s="364">
        <v>400</v>
      </c>
      <c r="D61" s="365">
        <v>6000</v>
      </c>
      <c r="E61" s="365">
        <v>90</v>
      </c>
      <c r="F61" s="366">
        <v>350</v>
      </c>
      <c r="G61" s="365"/>
      <c r="H61" s="501">
        <v>10000</v>
      </c>
      <c r="I61" s="500">
        <v>6000</v>
      </c>
      <c r="J61" s="499">
        <v>23990</v>
      </c>
      <c r="K61" s="502">
        <v>5000</v>
      </c>
    </row>
    <row r="62" spans="2:12" ht="15">
      <c r="B62" s="437" t="s">
        <v>246</v>
      </c>
      <c r="C62" s="365">
        <f>C61*C67</f>
        <v>4224000</v>
      </c>
      <c r="D62" s="365">
        <f>D61*D67</f>
        <v>5808000</v>
      </c>
      <c r="E62" s="365">
        <f>E61*E67</f>
        <v>871200</v>
      </c>
      <c r="F62" s="366">
        <f>F61*F67</f>
        <v>5082000</v>
      </c>
      <c r="G62" s="498">
        <f>SUM(C71:F71)</f>
        <v>5628000</v>
      </c>
      <c r="H62" s="366">
        <f>H59*H61</f>
        <v>100000</v>
      </c>
      <c r="I62" s="366">
        <f>I59*I61</f>
        <v>60000</v>
      </c>
      <c r="J62" s="385">
        <f>J61*2</f>
        <v>47980</v>
      </c>
      <c r="K62" s="503">
        <f>K61*50</f>
        <v>250000</v>
      </c>
      <c r="L62" s="504">
        <f>SUM(H62:K62)</f>
        <v>457980</v>
      </c>
    </row>
    <row r="63" spans="2:10" ht="15">
      <c r="B63" s="434"/>
      <c r="C63" s="433" t="s">
        <v>340</v>
      </c>
      <c r="D63" s="433" t="s">
        <v>248</v>
      </c>
      <c r="E63" s="433" t="s">
        <v>427</v>
      </c>
      <c r="F63" s="433" t="s">
        <v>419</v>
      </c>
      <c r="G63" s="367"/>
      <c r="H63"/>
      <c r="I63"/>
      <c r="J63" s="367" t="s">
        <v>336</v>
      </c>
    </row>
    <row r="64" spans="2:11" ht="12.75">
      <c r="B64" s="374"/>
      <c r="C64" s="374" t="s">
        <v>418</v>
      </c>
      <c r="D64" s="374" t="s">
        <v>418</v>
      </c>
      <c r="E64" s="374" t="s">
        <v>418</v>
      </c>
      <c r="F64" s="374" t="s">
        <v>420</v>
      </c>
      <c r="K64" s="506">
        <f>K61*25*10</f>
        <v>1250000</v>
      </c>
    </row>
    <row r="65" spans="2:6" ht="12.75">
      <c r="B65" s="374"/>
      <c r="C65" s="374" t="s">
        <v>442</v>
      </c>
      <c r="D65" s="374" t="s">
        <v>424</v>
      </c>
      <c r="E65" s="374" t="s">
        <v>424</v>
      </c>
      <c r="F65" s="374" t="s">
        <v>247</v>
      </c>
    </row>
    <row r="66" spans="2:6" ht="12.75">
      <c r="B66" s="374"/>
      <c r="C66" s="374" t="s">
        <v>441</v>
      </c>
      <c r="D66" s="374" t="s">
        <v>425</v>
      </c>
      <c r="E66" s="374" t="s">
        <v>426</v>
      </c>
      <c r="F66" s="374" t="s">
        <v>426</v>
      </c>
    </row>
    <row r="67" spans="2:10" ht="12.75">
      <c r="B67" s="438" t="s">
        <v>249</v>
      </c>
      <c r="C67" s="439">
        <v>10560</v>
      </c>
      <c r="D67" s="439">
        <v>968</v>
      </c>
      <c r="E67" s="439">
        <v>9680</v>
      </c>
      <c r="F67" s="439">
        <v>14520</v>
      </c>
      <c r="I67" s="387" t="s">
        <v>250</v>
      </c>
      <c r="J67" s="505">
        <f>G62+L62</f>
        <v>6085980</v>
      </c>
    </row>
    <row r="68" spans="2:10" ht="12.75">
      <c r="B68" s="438" t="s">
        <v>252</v>
      </c>
      <c r="C68" s="374"/>
      <c r="D68" s="374"/>
      <c r="E68" s="374"/>
      <c r="F68" s="373" t="s">
        <v>338</v>
      </c>
      <c r="J68" s="85" t="s">
        <v>429</v>
      </c>
    </row>
    <row r="69" spans="2:6" ht="12.75">
      <c r="B69" s="374"/>
      <c r="C69" s="374"/>
      <c r="D69" s="374"/>
      <c r="E69" s="374"/>
      <c r="F69" s="374" t="s">
        <v>337</v>
      </c>
    </row>
    <row r="70" spans="2:6" ht="12.75">
      <c r="B70" s="375"/>
      <c r="C70" s="375"/>
      <c r="D70" s="375"/>
      <c r="E70" s="375"/>
      <c r="F70" s="375"/>
    </row>
    <row r="71" spans="2:7" ht="12.75">
      <c r="B71" s="435" t="s">
        <v>339</v>
      </c>
      <c r="C71" s="497">
        <f>(10*400)*4*5*21</f>
        <v>1680000</v>
      </c>
      <c r="D71" s="497">
        <f>6000*4*5*21</f>
        <v>2520000</v>
      </c>
      <c r="E71" s="497">
        <f>(10*90)*4*5*21</f>
        <v>378000</v>
      </c>
      <c r="F71" s="497">
        <f>(10*350)*4*5*15</f>
        <v>1050000</v>
      </c>
      <c r="G71" s="436">
        <f>SUM(C71:F71)</f>
        <v>5628000</v>
      </c>
    </row>
    <row r="72" ht="12.75"/>
    <row r="73" ht="12.75"/>
    <row r="74" ht="12.75"/>
    <row r="75" ht="12.75"/>
    <row r="76" ht="12.75"/>
    <row r="77" ht="12.75"/>
    <row r="78" ht="30">
      <c r="A78" s="423" t="s">
        <v>334</v>
      </c>
    </row>
    <row r="79" ht="12.75"/>
    <row r="80" spans="1:11" ht="18.75">
      <c r="A80" s="388" t="s">
        <v>253</v>
      </c>
      <c r="B80" s="389" t="s">
        <v>254</v>
      </c>
      <c r="C80" s="388" t="s">
        <v>255</v>
      </c>
      <c r="D80" s="390" t="s">
        <v>256</v>
      </c>
      <c r="E80" s="391" t="s">
        <v>257</v>
      </c>
      <c r="F80" s="392" t="s">
        <v>258</v>
      </c>
      <c r="G80" s="393" t="s">
        <v>259</v>
      </c>
      <c r="H80" s="393" t="s">
        <v>260</v>
      </c>
      <c r="I80" s="392" t="s">
        <v>261</v>
      </c>
      <c r="J80" s="394">
        <v>2020</v>
      </c>
      <c r="K80" s="424">
        <v>2021</v>
      </c>
    </row>
    <row r="81" spans="1:11" ht="60">
      <c r="A81" s="638" t="s">
        <v>262</v>
      </c>
      <c r="B81" s="395" t="s">
        <v>263</v>
      </c>
      <c r="C81" s="396" t="s">
        <v>264</v>
      </c>
      <c r="D81" s="397" t="s">
        <v>265</v>
      </c>
      <c r="E81" s="398">
        <v>146</v>
      </c>
      <c r="F81" s="399" t="s">
        <v>266</v>
      </c>
      <c r="G81" s="400">
        <v>1400</v>
      </c>
      <c r="H81" s="401">
        <f aca="true" t="shared" si="0" ref="H81:H106">+G81*E81</f>
        <v>204400</v>
      </c>
      <c r="I81" s="402">
        <f>+H81/('[1]PECECITOS DE COLORES'!$J$5)</f>
        <v>7.126917712691771</v>
      </c>
      <c r="J81" s="402">
        <f aca="true" t="shared" si="1" ref="J81:J93">+I81</f>
        <v>7.126917712691771</v>
      </c>
      <c r="K81" s="425">
        <f aca="true" t="shared" si="2" ref="K81:K87">+I81</f>
        <v>7.126917712691771</v>
      </c>
    </row>
    <row r="82" spans="1:11" ht="45">
      <c r="A82" s="638"/>
      <c r="B82" s="637" t="s">
        <v>267</v>
      </c>
      <c r="C82" s="396" t="s">
        <v>268</v>
      </c>
      <c r="D82" s="403" t="s">
        <v>265</v>
      </c>
      <c r="E82" s="404">
        <v>22</v>
      </c>
      <c r="F82" s="405" t="s">
        <v>269</v>
      </c>
      <c r="G82" s="406">
        <v>3500</v>
      </c>
      <c r="H82" s="407">
        <f t="shared" si="0"/>
        <v>77000</v>
      </c>
      <c r="I82" s="402">
        <f>+H82/('[1]PECECITOS DE COLORES'!$J$5)</f>
        <v>2.684797768479777</v>
      </c>
      <c r="J82" s="408">
        <f t="shared" si="1"/>
        <v>2.684797768479777</v>
      </c>
      <c r="K82" s="426">
        <f t="shared" si="2"/>
        <v>2.684797768479777</v>
      </c>
    </row>
    <row r="83" spans="1:11" ht="90">
      <c r="A83" s="638"/>
      <c r="B83" s="640"/>
      <c r="C83" s="396" t="s">
        <v>270</v>
      </c>
      <c r="D83" s="403" t="s">
        <v>265</v>
      </c>
      <c r="E83" s="404">
        <v>27</v>
      </c>
      <c r="F83" s="405" t="s">
        <v>269</v>
      </c>
      <c r="G83" s="406">
        <v>3500</v>
      </c>
      <c r="H83" s="407">
        <f t="shared" si="0"/>
        <v>94500</v>
      </c>
      <c r="I83" s="402">
        <f>+H83/('[1]PECECITOS DE COLORES'!$J$5)</f>
        <v>3.294979079497908</v>
      </c>
      <c r="J83" s="408">
        <f t="shared" si="1"/>
        <v>3.294979079497908</v>
      </c>
      <c r="K83" s="426">
        <f t="shared" si="2"/>
        <v>3.294979079497908</v>
      </c>
    </row>
    <row r="84" spans="1:11" ht="30">
      <c r="A84" s="638"/>
      <c r="B84" s="637"/>
      <c r="C84" s="396" t="s">
        <v>271</v>
      </c>
      <c r="D84" s="403" t="s">
        <v>265</v>
      </c>
      <c r="E84" s="404">
        <v>1</v>
      </c>
      <c r="F84" s="405" t="s">
        <v>272</v>
      </c>
      <c r="G84" s="406">
        <v>35000</v>
      </c>
      <c r="H84" s="407">
        <f t="shared" si="0"/>
        <v>35000</v>
      </c>
      <c r="I84" s="402">
        <f>+H84/('[1]PECECITOS DE COLORES'!$J$5)</f>
        <v>1.2203626220362622</v>
      </c>
      <c r="J84" s="408">
        <f t="shared" si="1"/>
        <v>1.2203626220362622</v>
      </c>
      <c r="K84" s="426">
        <f t="shared" si="2"/>
        <v>1.2203626220362622</v>
      </c>
    </row>
    <row r="85" spans="1:11" ht="15">
      <c r="A85" s="638"/>
      <c r="B85" s="637" t="s">
        <v>273</v>
      </c>
      <c r="C85" s="396" t="s">
        <v>274</v>
      </c>
      <c r="D85" s="403" t="s">
        <v>265</v>
      </c>
      <c r="E85" s="404"/>
      <c r="F85" s="405" t="s">
        <v>272</v>
      </c>
      <c r="G85" s="406">
        <v>25000</v>
      </c>
      <c r="H85" s="407">
        <f t="shared" si="0"/>
        <v>0</v>
      </c>
      <c r="I85" s="402">
        <f>+H85/('[1]PECECITOS DE COLORES'!$J$5)</f>
        <v>0</v>
      </c>
      <c r="J85" s="408">
        <f t="shared" si="1"/>
        <v>0</v>
      </c>
      <c r="K85" s="426">
        <f t="shared" si="2"/>
        <v>0</v>
      </c>
    </row>
    <row r="86" spans="1:11" ht="30">
      <c r="A86" s="638"/>
      <c r="B86" s="637"/>
      <c r="C86" s="396" t="s">
        <v>275</v>
      </c>
      <c r="D86" s="403" t="s">
        <v>265</v>
      </c>
      <c r="E86" s="404">
        <v>2</v>
      </c>
      <c r="F86" s="405" t="s">
        <v>272</v>
      </c>
      <c r="G86" s="406">
        <v>45000</v>
      </c>
      <c r="H86" s="407">
        <f t="shared" si="0"/>
        <v>90000</v>
      </c>
      <c r="I86" s="402">
        <f>+H86/('[1]PECECITOS DE COLORES'!$J$5)</f>
        <v>3.1380753138075312</v>
      </c>
      <c r="J86" s="408">
        <f t="shared" si="1"/>
        <v>3.1380753138075312</v>
      </c>
      <c r="K86" s="426">
        <f t="shared" si="2"/>
        <v>3.1380753138075312</v>
      </c>
    </row>
    <row r="87" spans="1:11" ht="30">
      <c r="A87" s="638"/>
      <c r="B87" s="395" t="s">
        <v>276</v>
      </c>
      <c r="C87" s="396" t="s">
        <v>277</v>
      </c>
      <c r="D87" s="403" t="s">
        <v>265</v>
      </c>
      <c r="E87" s="404">
        <v>1</v>
      </c>
      <c r="F87" s="405" t="s">
        <v>272</v>
      </c>
      <c r="G87" s="406">
        <v>120000</v>
      </c>
      <c r="H87" s="407">
        <f t="shared" si="0"/>
        <v>120000</v>
      </c>
      <c r="I87" s="402">
        <f>+H87/('[1]PECECITOS DE COLORES'!$J$5)</f>
        <v>4.184100418410042</v>
      </c>
      <c r="J87" s="408">
        <f t="shared" si="1"/>
        <v>4.184100418410042</v>
      </c>
      <c r="K87" s="426">
        <f t="shared" si="2"/>
        <v>4.184100418410042</v>
      </c>
    </row>
    <row r="88" spans="1:11" ht="15">
      <c r="A88" s="643" t="s">
        <v>278</v>
      </c>
      <c r="B88" s="637"/>
      <c r="C88" s="396" t="s">
        <v>279</v>
      </c>
      <c r="D88" s="409">
        <v>5</v>
      </c>
      <c r="E88" s="404">
        <v>1</v>
      </c>
      <c r="F88" s="405" t="s">
        <v>272</v>
      </c>
      <c r="G88" s="406">
        <v>450000</v>
      </c>
      <c r="H88" s="407">
        <f t="shared" si="0"/>
        <v>450000</v>
      </c>
      <c r="I88" s="402">
        <f>+H88/('[1]PECECITOS DE COLORES'!$J$5)</f>
        <v>15.690376569037657</v>
      </c>
      <c r="J88" s="408">
        <f t="shared" si="1"/>
        <v>15.690376569037657</v>
      </c>
      <c r="K88" s="427"/>
    </row>
    <row r="89" spans="1:11" ht="30">
      <c r="A89" s="643"/>
      <c r="B89" s="644"/>
      <c r="C89" s="396" t="s">
        <v>280</v>
      </c>
      <c r="D89" s="409">
        <v>5</v>
      </c>
      <c r="E89" s="404">
        <v>1</v>
      </c>
      <c r="F89" s="405" t="s">
        <v>281</v>
      </c>
      <c r="G89" s="406">
        <v>20120</v>
      </c>
      <c r="H89" s="407">
        <f t="shared" si="0"/>
        <v>20120</v>
      </c>
      <c r="I89" s="402">
        <f>+H89/('[1]PECECITOS DE COLORES'!$J$5)</f>
        <v>0.701534170153417</v>
      </c>
      <c r="J89" s="408">
        <f t="shared" si="1"/>
        <v>0.701534170153417</v>
      </c>
      <c r="K89" s="427"/>
    </row>
    <row r="90" spans="1:11" ht="30">
      <c r="A90" s="643"/>
      <c r="B90" s="637"/>
      <c r="C90" s="396" t="s">
        <v>282</v>
      </c>
      <c r="D90" s="409">
        <v>5</v>
      </c>
      <c r="E90" s="404">
        <v>50</v>
      </c>
      <c r="F90" s="405" t="s">
        <v>283</v>
      </c>
      <c r="G90" s="406">
        <v>35000</v>
      </c>
      <c r="H90" s="407">
        <f t="shared" si="0"/>
        <v>1750000</v>
      </c>
      <c r="I90" s="402">
        <f>+H90/('[1]PECECITOS DE COLORES'!$J$5)</f>
        <v>61.01813110181311</v>
      </c>
      <c r="J90" s="408">
        <f t="shared" si="1"/>
        <v>61.01813110181311</v>
      </c>
      <c r="K90" s="427"/>
    </row>
    <row r="91" spans="1:12" ht="30">
      <c r="A91" s="643"/>
      <c r="B91" s="637" t="s">
        <v>263</v>
      </c>
      <c r="C91" s="492" t="s">
        <v>284</v>
      </c>
      <c r="D91" s="403" t="s">
        <v>265</v>
      </c>
      <c r="E91" s="404">
        <v>5</v>
      </c>
      <c r="F91" s="405" t="s">
        <v>272</v>
      </c>
      <c r="G91" s="406">
        <v>27000</v>
      </c>
      <c r="H91" s="407">
        <f t="shared" si="0"/>
        <v>135000</v>
      </c>
      <c r="I91" s="402">
        <f>+H91/('[1]PECECITOS DE COLORES'!$J$5)</f>
        <v>4.707112970711297</v>
      </c>
      <c r="J91" s="408">
        <f t="shared" si="1"/>
        <v>4.707112970711297</v>
      </c>
      <c r="K91" s="490"/>
      <c r="L91" s="85" t="s">
        <v>417</v>
      </c>
    </row>
    <row r="92" spans="1:12" ht="30">
      <c r="A92" s="643"/>
      <c r="B92" s="644"/>
      <c r="C92" s="396" t="s">
        <v>285</v>
      </c>
      <c r="D92" s="403" t="s">
        <v>265</v>
      </c>
      <c r="E92" s="404">
        <v>1688</v>
      </c>
      <c r="F92" s="405" t="s">
        <v>272</v>
      </c>
      <c r="G92" s="406">
        <v>1020</v>
      </c>
      <c r="H92" s="407">
        <f t="shared" si="0"/>
        <v>1721760</v>
      </c>
      <c r="I92" s="402">
        <f>+H92/('[1]PECECITOS DE COLORES'!$J$5)</f>
        <v>60.03347280334728</v>
      </c>
      <c r="J92" s="408">
        <f t="shared" si="1"/>
        <v>60.03347280334728</v>
      </c>
      <c r="K92" s="490"/>
      <c r="L92" s="85" t="s">
        <v>417</v>
      </c>
    </row>
    <row r="93" spans="1:12" ht="30">
      <c r="A93" s="643"/>
      <c r="B93" s="637"/>
      <c r="C93" s="396" t="s">
        <v>286</v>
      </c>
      <c r="D93" s="403" t="s">
        <v>265</v>
      </c>
      <c r="E93" s="404">
        <v>146</v>
      </c>
      <c r="F93" s="405" t="s">
        <v>283</v>
      </c>
      <c r="G93" s="406">
        <v>8300</v>
      </c>
      <c r="H93" s="407">
        <f t="shared" si="0"/>
        <v>1211800</v>
      </c>
      <c r="I93" s="402">
        <f>+H93/('[1]PECECITOS DE COLORES'!$J$5)</f>
        <v>42.25244072524407</v>
      </c>
      <c r="J93" s="408">
        <f t="shared" si="1"/>
        <v>42.25244072524407</v>
      </c>
      <c r="K93" s="490"/>
      <c r="L93" s="85" t="s">
        <v>417</v>
      </c>
    </row>
    <row r="94" spans="1:12" ht="30">
      <c r="A94" s="643"/>
      <c r="B94" s="637" t="s">
        <v>287</v>
      </c>
      <c r="C94" s="491" t="s">
        <v>288</v>
      </c>
      <c r="D94" s="409">
        <v>3</v>
      </c>
      <c r="E94" s="404">
        <v>768</v>
      </c>
      <c r="F94" s="405" t="s">
        <v>281</v>
      </c>
      <c r="G94" s="406">
        <v>2500</v>
      </c>
      <c r="H94" s="407">
        <f t="shared" si="0"/>
        <v>1920000</v>
      </c>
      <c r="I94" s="402">
        <f>+H94/('[1]PECECITOS DE COLORES'!$J$5)</f>
        <v>66.94560669456067</v>
      </c>
      <c r="J94" s="408"/>
      <c r="K94" s="490"/>
      <c r="L94" s="85" t="s">
        <v>417</v>
      </c>
    </row>
    <row r="95" spans="1:12" ht="45">
      <c r="A95" s="643"/>
      <c r="B95" s="644"/>
      <c r="C95" s="491" t="s">
        <v>289</v>
      </c>
      <c r="D95" s="409">
        <v>3</v>
      </c>
      <c r="E95" s="404">
        <v>656</v>
      </c>
      <c r="F95" s="405" t="s">
        <v>281</v>
      </c>
      <c r="G95" s="406">
        <v>2500</v>
      </c>
      <c r="H95" s="407">
        <f t="shared" si="0"/>
        <v>1640000</v>
      </c>
      <c r="I95" s="402">
        <f>+H95/('[1]PECECITOS DE COLORES'!$J$5)</f>
        <v>57.18270571827057</v>
      </c>
      <c r="J95" s="408"/>
      <c r="K95" s="490"/>
      <c r="L95" s="85" t="s">
        <v>417</v>
      </c>
    </row>
    <row r="96" spans="1:12" ht="30">
      <c r="A96" s="643"/>
      <c r="B96" s="644"/>
      <c r="C96" s="491" t="s">
        <v>290</v>
      </c>
      <c r="D96" s="409">
        <v>3</v>
      </c>
      <c r="E96" s="404">
        <v>107</v>
      </c>
      <c r="F96" s="405" t="s">
        <v>281</v>
      </c>
      <c r="G96" s="406">
        <v>2500</v>
      </c>
      <c r="H96" s="407">
        <f t="shared" si="0"/>
        <v>267500</v>
      </c>
      <c r="I96" s="402">
        <f>+H96/('[1]PECECITOS DE COLORES'!$J$5)</f>
        <v>9.327057182705719</v>
      </c>
      <c r="J96" s="403"/>
      <c r="K96" s="490"/>
      <c r="L96" s="85" t="s">
        <v>417</v>
      </c>
    </row>
    <row r="97" spans="1:11" ht="15">
      <c r="A97" s="643"/>
      <c r="B97" s="637"/>
      <c r="C97" s="396" t="s">
        <v>291</v>
      </c>
      <c r="D97" s="409">
        <v>5</v>
      </c>
      <c r="E97" s="404">
        <v>660</v>
      </c>
      <c r="F97" s="405" t="s">
        <v>281</v>
      </c>
      <c r="G97" s="406">
        <v>3991</v>
      </c>
      <c r="H97" s="407">
        <f t="shared" si="0"/>
        <v>2634060</v>
      </c>
      <c r="I97" s="402">
        <f>+H97/('[1]PECECITOS DE COLORES'!$J$5)</f>
        <v>91.84309623430963</v>
      </c>
      <c r="J97" s="408"/>
      <c r="K97" s="427"/>
    </row>
    <row r="98" spans="1:12" ht="15">
      <c r="A98" s="643"/>
      <c r="B98" s="637" t="s">
        <v>292</v>
      </c>
      <c r="C98" s="492" t="s">
        <v>293</v>
      </c>
      <c r="D98" s="409">
        <v>2</v>
      </c>
      <c r="E98" s="404">
        <v>151</v>
      </c>
      <c r="F98" s="405" t="s">
        <v>283</v>
      </c>
      <c r="G98" s="406">
        <v>8990</v>
      </c>
      <c r="H98" s="407">
        <f t="shared" si="0"/>
        <v>1357490</v>
      </c>
      <c r="I98" s="402">
        <f>+H98/('[1]PECECITOS DE COLORES'!$J$5)</f>
        <v>47.33228730822873</v>
      </c>
      <c r="J98" s="403"/>
      <c r="K98" s="490"/>
      <c r="L98" s="85" t="s">
        <v>417</v>
      </c>
    </row>
    <row r="99" spans="1:11" ht="45">
      <c r="A99" s="643"/>
      <c r="B99" s="637"/>
      <c r="C99" s="396" t="s">
        <v>294</v>
      </c>
      <c r="D99" s="409" t="s">
        <v>295</v>
      </c>
      <c r="E99" s="404">
        <v>27</v>
      </c>
      <c r="F99" s="405" t="s">
        <v>272</v>
      </c>
      <c r="G99" s="406">
        <v>5000</v>
      </c>
      <c r="H99" s="407">
        <f t="shared" si="0"/>
        <v>135000</v>
      </c>
      <c r="I99" s="402">
        <f>+H99/('[1]PECECITOS DE COLORES'!$J$5)</f>
        <v>4.707112970711297</v>
      </c>
      <c r="J99" s="408">
        <f>+I99</f>
        <v>4.707112970711297</v>
      </c>
      <c r="K99" s="427"/>
    </row>
    <row r="100" spans="1:12" ht="75">
      <c r="A100" s="643"/>
      <c r="B100" s="637" t="s">
        <v>267</v>
      </c>
      <c r="C100" s="396" t="s">
        <v>296</v>
      </c>
      <c r="D100" s="409">
        <v>5</v>
      </c>
      <c r="E100" s="398">
        <v>27</v>
      </c>
      <c r="F100" s="399" t="s">
        <v>272</v>
      </c>
      <c r="G100" s="400">
        <v>26000</v>
      </c>
      <c r="H100" s="401">
        <f t="shared" si="0"/>
        <v>702000</v>
      </c>
      <c r="I100" s="402">
        <f>+H100/('[1]PECECITOS DE COLORES'!$J$5)</f>
        <v>24.476987447698743</v>
      </c>
      <c r="J100" s="402"/>
      <c r="K100" s="507"/>
      <c r="L100" s="85" t="s">
        <v>417</v>
      </c>
    </row>
    <row r="101" spans="1:12" ht="30">
      <c r="A101" s="643"/>
      <c r="B101" s="637"/>
      <c r="C101" s="492" t="s">
        <v>297</v>
      </c>
      <c r="D101" s="409">
        <v>3</v>
      </c>
      <c r="E101" s="404">
        <v>1</v>
      </c>
      <c r="F101" s="405" t="s">
        <v>272</v>
      </c>
      <c r="G101" s="406">
        <v>45000</v>
      </c>
      <c r="H101" s="407">
        <f t="shared" si="0"/>
        <v>45000</v>
      </c>
      <c r="I101" s="402">
        <f>+H101/('[1]PECECITOS DE COLORES'!$J$5)</f>
        <v>1.5690376569037656</v>
      </c>
      <c r="J101" s="403"/>
      <c r="K101" s="490"/>
      <c r="L101" s="85" t="s">
        <v>417</v>
      </c>
    </row>
    <row r="102" spans="1:12" ht="30">
      <c r="A102" s="643"/>
      <c r="B102" s="637" t="s">
        <v>298</v>
      </c>
      <c r="C102" s="396" t="s">
        <v>271</v>
      </c>
      <c r="D102" s="409" t="s">
        <v>299</v>
      </c>
      <c r="E102" s="404">
        <v>1</v>
      </c>
      <c r="F102" s="405" t="s">
        <v>272</v>
      </c>
      <c r="G102" s="406">
        <v>35000</v>
      </c>
      <c r="H102" s="407">
        <f t="shared" si="0"/>
        <v>35000</v>
      </c>
      <c r="I102" s="402">
        <f>+H102/('[1]PECECITOS DE COLORES'!$J$5)</f>
        <v>1.2203626220362622</v>
      </c>
      <c r="J102" s="403"/>
      <c r="K102" s="490"/>
      <c r="L102" s="85" t="s">
        <v>417</v>
      </c>
    </row>
    <row r="103" spans="1:12" ht="30">
      <c r="A103" s="643"/>
      <c r="B103" s="637"/>
      <c r="C103" s="396" t="s">
        <v>300</v>
      </c>
      <c r="D103" s="409">
        <v>10</v>
      </c>
      <c r="E103" s="404">
        <v>817</v>
      </c>
      <c r="F103" s="405" t="s">
        <v>272</v>
      </c>
      <c r="G103" s="406">
        <v>9500</v>
      </c>
      <c r="H103" s="407">
        <f t="shared" si="0"/>
        <v>7761500</v>
      </c>
      <c r="I103" s="402">
        <f>+H103/('[1]PECECITOS DE COLORES'!$J$5)</f>
        <v>270.62412831241284</v>
      </c>
      <c r="J103" s="408"/>
      <c r="K103" s="490"/>
      <c r="L103" s="85" t="s">
        <v>417</v>
      </c>
    </row>
    <row r="104" spans="1:11" ht="45">
      <c r="A104" s="643"/>
      <c r="B104" s="395" t="s">
        <v>301</v>
      </c>
      <c r="C104" s="396" t="s">
        <v>302</v>
      </c>
      <c r="D104" s="409">
        <v>5</v>
      </c>
      <c r="E104" s="398">
        <v>1</v>
      </c>
      <c r="F104" s="399" t="s">
        <v>272</v>
      </c>
      <c r="G104" s="400">
        <v>225000</v>
      </c>
      <c r="H104" s="401">
        <f t="shared" si="0"/>
        <v>225000</v>
      </c>
      <c r="I104" s="402">
        <f>+H104/('[1]PECECITOS DE COLORES'!$J$5)</f>
        <v>7.845188284518828</v>
      </c>
      <c r="J104" s="402">
        <f>+I104</f>
        <v>7.845188284518828</v>
      </c>
      <c r="K104" s="425"/>
    </row>
    <row r="105" spans="1:11" ht="30">
      <c r="A105" s="643"/>
      <c r="B105" s="637" t="s">
        <v>303</v>
      </c>
      <c r="C105" s="396" t="s">
        <v>304</v>
      </c>
      <c r="D105" s="409">
        <v>5</v>
      </c>
      <c r="E105" s="404">
        <v>1</v>
      </c>
      <c r="F105" s="405" t="s">
        <v>272</v>
      </c>
      <c r="G105" s="406">
        <v>250000</v>
      </c>
      <c r="H105" s="407">
        <f t="shared" si="0"/>
        <v>250000</v>
      </c>
      <c r="I105" s="402">
        <f>+H105/('[1]PECECITOS DE COLORES'!$J$5)</f>
        <v>8.716875871687588</v>
      </c>
      <c r="J105" s="408">
        <f>+I105</f>
        <v>8.716875871687588</v>
      </c>
      <c r="K105" s="427"/>
    </row>
    <row r="106" spans="1:11" ht="30">
      <c r="A106" s="643"/>
      <c r="B106" s="637"/>
      <c r="C106" s="396" t="s">
        <v>305</v>
      </c>
      <c r="D106" s="409">
        <v>3</v>
      </c>
      <c r="E106" s="404">
        <v>1</v>
      </c>
      <c r="F106" s="405" t="s">
        <v>272</v>
      </c>
      <c r="G106" s="406">
        <v>180000</v>
      </c>
      <c r="H106" s="407">
        <f t="shared" si="0"/>
        <v>180000</v>
      </c>
      <c r="I106" s="402">
        <f>+H106/('[1]PECECITOS DE COLORES'!$J$5)</f>
        <v>6.2761506276150625</v>
      </c>
      <c r="J106" s="403"/>
      <c r="K106" s="426">
        <f>+I106</f>
        <v>6.2761506276150625</v>
      </c>
    </row>
    <row r="107" spans="1:11" ht="30">
      <c r="A107" s="643"/>
      <c r="B107" s="395" t="s">
        <v>276</v>
      </c>
      <c r="C107" s="396" t="s">
        <v>306</v>
      </c>
      <c r="D107" s="409">
        <v>2</v>
      </c>
      <c r="E107" s="404">
        <v>1</v>
      </c>
      <c r="F107" s="405" t="s">
        <v>272</v>
      </c>
      <c r="G107" s="406">
        <v>225000</v>
      </c>
      <c r="H107" s="407">
        <v>150000</v>
      </c>
      <c r="I107" s="402">
        <f>+H107/('[1]PECECITOS DE COLORES'!$J$5)</f>
        <v>5.2301255230125525</v>
      </c>
      <c r="J107" s="403"/>
      <c r="K107" s="426">
        <f>+I107</f>
        <v>5.2301255230125525</v>
      </c>
    </row>
    <row r="108" spans="1:11" ht="30">
      <c r="A108" s="643"/>
      <c r="B108" s="637" t="s">
        <v>307</v>
      </c>
      <c r="C108" s="396" t="s">
        <v>308</v>
      </c>
      <c r="D108" s="409">
        <v>5</v>
      </c>
      <c r="E108" s="404">
        <v>1</v>
      </c>
      <c r="F108" s="405" t="s">
        <v>272</v>
      </c>
      <c r="G108" s="406">
        <v>225000</v>
      </c>
      <c r="H108" s="407">
        <v>150000</v>
      </c>
      <c r="I108" s="402">
        <f>+H108/('[1]PECECITOS DE COLORES'!$J$5)</f>
        <v>5.2301255230125525</v>
      </c>
      <c r="J108" s="408"/>
      <c r="K108" s="427"/>
    </row>
    <row r="109" spans="1:11" ht="30">
      <c r="A109" s="643"/>
      <c r="B109" s="637"/>
      <c r="C109" s="396" t="s">
        <v>309</v>
      </c>
      <c r="D109" s="409" t="s">
        <v>265</v>
      </c>
      <c r="E109" s="404">
        <v>1</v>
      </c>
      <c r="F109" s="405" t="s">
        <v>272</v>
      </c>
      <c r="G109" s="406">
        <v>175000</v>
      </c>
      <c r="H109" s="407">
        <f aca="true" t="shared" si="3" ref="H109:H122">+G109*E109</f>
        <v>175000</v>
      </c>
      <c r="I109" s="402">
        <f>+H109/('[1]PECECITOS DE COLORES'!$J$5)</f>
        <v>6.101813110181311</v>
      </c>
      <c r="J109" s="408"/>
      <c r="K109" s="426">
        <f>+I109</f>
        <v>6.101813110181311</v>
      </c>
    </row>
    <row r="110" spans="1:11" ht="30">
      <c r="A110" s="643"/>
      <c r="B110" s="637" t="s">
        <v>310</v>
      </c>
      <c r="C110" s="410" t="s">
        <v>311</v>
      </c>
      <c r="D110" s="409" t="s">
        <v>265</v>
      </c>
      <c r="E110" s="404">
        <v>1</v>
      </c>
      <c r="F110" s="405" t="s">
        <v>272</v>
      </c>
      <c r="G110" s="406">
        <v>120000</v>
      </c>
      <c r="H110" s="407">
        <f>G110*E110</f>
        <v>120000</v>
      </c>
      <c r="I110" s="402">
        <v>4.18</v>
      </c>
      <c r="J110" s="408"/>
      <c r="K110" s="426">
        <v>4.2</v>
      </c>
    </row>
    <row r="111" spans="1:11" ht="30">
      <c r="A111" s="643"/>
      <c r="B111" s="637"/>
      <c r="C111" s="396" t="s">
        <v>312</v>
      </c>
      <c r="D111" s="409" t="s">
        <v>299</v>
      </c>
      <c r="E111" s="404">
        <v>1</v>
      </c>
      <c r="F111" s="405" t="s">
        <v>313</v>
      </c>
      <c r="G111" s="406">
        <v>25000</v>
      </c>
      <c r="H111" s="407">
        <f t="shared" si="3"/>
        <v>25000</v>
      </c>
      <c r="I111" s="402">
        <f>+H111/('[1]PECECITOS DE COLORES'!$J$5)</f>
        <v>0.8716875871687587</v>
      </c>
      <c r="J111" s="403"/>
      <c r="K111" s="426"/>
    </row>
    <row r="112" spans="1:11" ht="60">
      <c r="A112" s="643"/>
      <c r="B112" s="637"/>
      <c r="C112" s="396" t="s">
        <v>314</v>
      </c>
      <c r="D112" s="403" t="s">
        <v>299</v>
      </c>
      <c r="E112" s="404">
        <v>1</v>
      </c>
      <c r="F112" s="405" t="s">
        <v>272</v>
      </c>
      <c r="G112" s="406">
        <v>120000</v>
      </c>
      <c r="H112" s="407">
        <f t="shared" si="3"/>
        <v>120000</v>
      </c>
      <c r="I112" s="402">
        <f>+H112/('[1]PECECITOS DE COLORES'!$J$5)</f>
        <v>4.184100418410042</v>
      </c>
      <c r="J112" s="408"/>
      <c r="K112" s="427"/>
    </row>
    <row r="113" spans="1:11" ht="45">
      <c r="A113" s="643"/>
      <c r="B113" s="395" t="s">
        <v>315</v>
      </c>
      <c r="C113" s="396" t="s">
        <v>315</v>
      </c>
      <c r="D113" s="397" t="s">
        <v>265</v>
      </c>
      <c r="E113" s="398">
        <v>1</v>
      </c>
      <c r="F113" s="399" t="s">
        <v>272</v>
      </c>
      <c r="G113" s="400">
        <v>435000</v>
      </c>
      <c r="H113" s="401">
        <f>G113*E113</f>
        <v>435000</v>
      </c>
      <c r="I113" s="402">
        <v>15.15</v>
      </c>
      <c r="J113" s="402"/>
      <c r="K113" s="428">
        <v>15.15</v>
      </c>
    </row>
    <row r="114" spans="1:11" ht="15">
      <c r="A114" s="643"/>
      <c r="B114" s="395" t="s">
        <v>316</v>
      </c>
      <c r="C114" s="396" t="s">
        <v>317</v>
      </c>
      <c r="D114" s="403" t="s">
        <v>299</v>
      </c>
      <c r="E114" s="404">
        <v>1</v>
      </c>
      <c r="F114" s="405" t="s">
        <v>272</v>
      </c>
      <c r="G114" s="406">
        <v>450000</v>
      </c>
      <c r="H114" s="407">
        <f t="shared" si="3"/>
        <v>450000</v>
      </c>
      <c r="I114" s="402">
        <f>+H114/('[1]PECECITOS DE COLORES'!$J$5)</f>
        <v>15.690376569037657</v>
      </c>
      <c r="J114" s="408">
        <f>+I114</f>
        <v>15.690376569037657</v>
      </c>
      <c r="K114" s="427"/>
    </row>
    <row r="115" spans="1:11" ht="30">
      <c r="A115" s="643"/>
      <c r="B115" s="395" t="s">
        <v>318</v>
      </c>
      <c r="C115" s="396" t="s">
        <v>319</v>
      </c>
      <c r="D115" s="403" t="s">
        <v>320</v>
      </c>
      <c r="E115" s="404">
        <v>1688</v>
      </c>
      <c r="F115" s="405" t="s">
        <v>281</v>
      </c>
      <c r="G115" s="406">
        <v>16000</v>
      </c>
      <c r="H115" s="407">
        <f t="shared" si="3"/>
        <v>27008000</v>
      </c>
      <c r="I115" s="402">
        <f>+H115/('[1]PECECITOS DE COLORES'!$J$5)</f>
        <v>941.7015341701534</v>
      </c>
      <c r="J115" s="408"/>
      <c r="K115" s="427"/>
    </row>
    <row r="116" spans="1:11" ht="30">
      <c r="A116" s="638" t="s">
        <v>321</v>
      </c>
      <c r="B116" s="639" t="s">
        <v>322</v>
      </c>
      <c r="C116" s="396" t="s">
        <v>323</v>
      </c>
      <c r="D116" s="403" t="s">
        <v>320</v>
      </c>
      <c r="E116" s="404">
        <v>250</v>
      </c>
      <c r="F116" s="405" t="s">
        <v>281</v>
      </c>
      <c r="G116" s="406">
        <v>26435</v>
      </c>
      <c r="H116" s="407">
        <f t="shared" si="3"/>
        <v>6608750</v>
      </c>
      <c r="I116" s="402">
        <f>+H116/('[1]PECECITOS DE COLORES'!$J$5)</f>
        <v>230.43061366806137</v>
      </c>
      <c r="J116" s="408"/>
      <c r="K116" s="427"/>
    </row>
    <row r="117" spans="1:11" ht="30">
      <c r="A117" s="638"/>
      <c r="B117" s="640"/>
      <c r="C117" s="396" t="s">
        <v>324</v>
      </c>
      <c r="D117" s="403" t="s">
        <v>320</v>
      </c>
      <c r="E117" s="404">
        <v>46</v>
      </c>
      <c r="F117" s="405" t="s">
        <v>325</v>
      </c>
      <c r="G117" s="406">
        <v>95000</v>
      </c>
      <c r="H117" s="407">
        <f t="shared" si="3"/>
        <v>4370000</v>
      </c>
      <c r="I117" s="402">
        <f>+H117/('[1]PECECITOS DE COLORES'!$J$5)</f>
        <v>152.37099023709902</v>
      </c>
      <c r="J117" s="408"/>
      <c r="K117" s="427"/>
    </row>
    <row r="118" spans="1:11" ht="30">
      <c r="A118" s="638"/>
      <c r="B118" s="640"/>
      <c r="C118" s="396" t="s">
        <v>326</v>
      </c>
      <c r="D118" s="403" t="s">
        <v>327</v>
      </c>
      <c r="E118" s="404">
        <v>7</v>
      </c>
      <c r="F118" s="405" t="s">
        <v>313</v>
      </c>
      <c r="G118" s="406">
        <v>85114</v>
      </c>
      <c r="H118" s="407">
        <f t="shared" si="3"/>
        <v>595798</v>
      </c>
      <c r="I118" s="402">
        <f>+H118/('[1]PECECITOS DE COLORES'!$J$5)</f>
        <v>20.773988842398886</v>
      </c>
      <c r="J118" s="408"/>
      <c r="K118" s="427"/>
    </row>
    <row r="119" spans="1:11" ht="30">
      <c r="A119" s="638"/>
      <c r="B119" s="640"/>
      <c r="C119" s="396" t="s">
        <v>328</v>
      </c>
      <c r="D119" s="403" t="s">
        <v>320</v>
      </c>
      <c r="E119" s="404">
        <v>47</v>
      </c>
      <c r="F119" s="405" t="s">
        <v>313</v>
      </c>
      <c r="G119" s="406">
        <v>65000</v>
      </c>
      <c r="H119" s="407">
        <f t="shared" si="3"/>
        <v>3055000</v>
      </c>
      <c r="I119" s="402">
        <f>+H119/('[1]PECECITOS DE COLORES'!$J$5)</f>
        <v>106.52022315202231</v>
      </c>
      <c r="J119" s="408"/>
      <c r="K119" s="427"/>
    </row>
    <row r="120" spans="1:11" ht="15">
      <c r="A120" s="638"/>
      <c r="B120" s="640"/>
      <c r="C120" s="396" t="s">
        <v>329</v>
      </c>
      <c r="D120" s="403" t="s">
        <v>320</v>
      </c>
      <c r="E120" s="404">
        <v>1</v>
      </c>
      <c r="F120" s="405" t="s">
        <v>313</v>
      </c>
      <c r="G120" s="406">
        <v>710450</v>
      </c>
      <c r="H120" s="407">
        <f t="shared" si="3"/>
        <v>710450</v>
      </c>
      <c r="I120" s="402">
        <f>+H120/('[1]PECECITOS DE COLORES'!$J$5)</f>
        <v>24.771617852161786</v>
      </c>
      <c r="J120" s="408"/>
      <c r="K120" s="427"/>
    </row>
    <row r="121" spans="1:11" ht="30">
      <c r="A121" s="638"/>
      <c r="B121" s="640"/>
      <c r="C121" s="396" t="s">
        <v>330</v>
      </c>
      <c r="D121" s="403" t="s">
        <v>320</v>
      </c>
      <c r="E121" s="404">
        <v>1</v>
      </c>
      <c r="F121" s="405" t="s">
        <v>313</v>
      </c>
      <c r="G121" s="406">
        <v>458700</v>
      </c>
      <c r="H121" s="407">
        <f t="shared" si="3"/>
        <v>458700</v>
      </c>
      <c r="I121" s="402">
        <f>+H121/('[1]PECECITOS DE COLORES'!$J$5)</f>
        <v>15.993723849372385</v>
      </c>
      <c r="J121" s="408"/>
      <c r="K121" s="427"/>
    </row>
    <row r="122" spans="1:11" ht="60">
      <c r="A122" s="638"/>
      <c r="B122" s="637"/>
      <c r="C122" s="411" t="s">
        <v>331</v>
      </c>
      <c r="D122" s="397" t="s">
        <v>265</v>
      </c>
      <c r="E122" s="397">
        <v>1</v>
      </c>
      <c r="F122" s="399" t="s">
        <v>272</v>
      </c>
      <c r="G122" s="400">
        <v>75000</v>
      </c>
      <c r="H122" s="401">
        <f t="shared" si="3"/>
        <v>75000</v>
      </c>
      <c r="I122" s="402">
        <v>2.61</v>
      </c>
      <c r="J122" s="402"/>
      <c r="K122" s="428">
        <v>2.6</v>
      </c>
    </row>
    <row r="123" spans="1:11" ht="15">
      <c r="A123" s="412"/>
      <c r="B123" s="413"/>
      <c r="C123" s="414"/>
      <c r="D123" s="414"/>
      <c r="E123" s="414"/>
      <c r="F123" s="415"/>
      <c r="G123" s="414"/>
      <c r="H123" s="414"/>
      <c r="I123" s="415"/>
      <c r="J123" s="415"/>
      <c r="K123" s="429"/>
    </row>
    <row r="124" spans="1:11" ht="15">
      <c r="A124" s="414"/>
      <c r="B124" s="416"/>
      <c r="C124" s="414"/>
      <c r="D124" s="417" t="s">
        <v>332</v>
      </c>
      <c r="E124" s="414"/>
      <c r="F124" s="415"/>
      <c r="G124" s="418"/>
      <c r="H124" s="419"/>
      <c r="I124" s="420"/>
      <c r="J124" s="421">
        <f>SUM(J81:J123)</f>
        <v>243.0118549511855</v>
      </c>
      <c r="K124" s="430">
        <f>SUM(K81:K123)</f>
        <v>61.207322175732216</v>
      </c>
    </row>
    <row r="125" spans="1:11" ht="15">
      <c r="A125" s="414"/>
      <c r="B125" s="416"/>
      <c r="C125" s="414"/>
      <c r="D125" s="417" t="s">
        <v>333</v>
      </c>
      <c r="E125" s="414"/>
      <c r="F125" s="415"/>
      <c r="G125" s="418"/>
      <c r="H125" s="419"/>
      <c r="I125" s="420"/>
      <c r="J125" s="422">
        <f>+J124*$H$4</f>
        <v>0</v>
      </c>
      <c r="K125" s="431">
        <f>+K124*J128</f>
        <v>1755426</v>
      </c>
    </row>
    <row r="128" ht="15">
      <c r="J128" s="432">
        <v>28680</v>
      </c>
    </row>
  </sheetData>
  <sheetProtection/>
  <mergeCells count="16">
    <mergeCell ref="J4:K4"/>
    <mergeCell ref="A81:A87"/>
    <mergeCell ref="B82:B84"/>
    <mergeCell ref="B85:B86"/>
    <mergeCell ref="A88:A115"/>
    <mergeCell ref="B88:B90"/>
    <mergeCell ref="B91:B93"/>
    <mergeCell ref="B94:B97"/>
    <mergeCell ref="B98:B99"/>
    <mergeCell ref="B100:B101"/>
    <mergeCell ref="B102:B103"/>
    <mergeCell ref="B105:B106"/>
    <mergeCell ref="B108:B109"/>
    <mergeCell ref="B110:B112"/>
    <mergeCell ref="A116:A122"/>
    <mergeCell ref="B116:B12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2017-09-14T16:34:08Z</cp:lastPrinted>
  <dcterms:created xsi:type="dcterms:W3CDTF">2017-05-11T00:45:10Z</dcterms:created>
  <dcterms:modified xsi:type="dcterms:W3CDTF">2020-12-16T17:52:08Z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