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cumentos\2020\TARIFAS 2021\SIMULACION TARIFAS SC\"/>
    </mc:Choice>
  </mc:AlternateContent>
  <xr:revisionPtr revIDLastSave="0" documentId="13_ncr:1_{421AA51C-8247-4BA5-9C2C-67214A0A38FB}" xr6:coauthVersionLast="45" xr6:coauthVersionMax="45" xr10:uidLastSave="{00000000-0000-0000-0000-000000000000}"/>
  <workbookProtection workbookPassword="9C6E" lockStructure="1"/>
  <bookViews>
    <workbookView xWindow="-120" yWindow="-120" windowWidth="29040" windowHeight="15840" tabRatio="929" firstSheet="2" activeTab="3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7" l="1"/>
  <c r="P15" i="7"/>
  <c r="O15" i="7"/>
  <c r="N15" i="7"/>
  <c r="F20" i="3" l="1"/>
  <c r="F19" i="3"/>
  <c r="I82" i="3" l="1"/>
  <c r="I14" i="3"/>
  <c r="M29" i="3" l="1"/>
  <c r="M28" i="3"/>
  <c r="M27" i="3"/>
  <c r="D84" i="3" l="1"/>
  <c r="C25" i="9" l="1"/>
  <c r="B25" i="9"/>
  <c r="C24" i="9"/>
  <c r="C23" i="9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J30" i="12" l="1"/>
  <c r="S15" i="13"/>
  <c r="S16" i="13"/>
  <c r="B31" i="12"/>
  <c r="B23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D97" i="3" s="1"/>
  <c r="H97" i="3" s="1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D123" i="3" s="1"/>
  <c r="H123" i="3" s="1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H112" i="3" l="1"/>
  <c r="H111" i="3" s="1"/>
  <c r="D111" i="3"/>
  <c r="H86" i="3"/>
  <c r="H82" i="3" s="1"/>
  <c r="D82" i="3"/>
  <c r="H130" i="3"/>
  <c r="H129" i="3" s="1"/>
  <c r="D129" i="3"/>
  <c r="D120" i="3"/>
  <c r="H122" i="3"/>
  <c r="H120" i="3" s="1"/>
  <c r="D109" i="3"/>
  <c r="H110" i="3"/>
  <c r="H109" i="3" s="1"/>
  <c r="H107" i="3"/>
  <c r="H104" i="3" s="1"/>
  <c r="D104" i="3"/>
  <c r="Q17" i="7"/>
  <c r="G21" i="1" s="1"/>
  <c r="G20" i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C20" i="1"/>
  <c r="Q20" i="1"/>
  <c r="B21" i="1"/>
  <c r="C21" i="1"/>
  <c r="Q21" i="1"/>
  <c r="K30" i="12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A13" i="5"/>
  <c r="B13" i="5"/>
  <c r="C13" i="5"/>
  <c r="B14" i="5"/>
  <c r="B15" i="5"/>
  <c r="C15" i="5"/>
  <c r="D67" i="3"/>
  <c r="D68" i="3"/>
  <c r="D69" i="3"/>
  <c r="D70" i="3"/>
  <c r="D72" i="3"/>
  <c r="D66" i="3"/>
  <c r="D63" i="3"/>
  <c r="D64" i="3"/>
  <c r="D62" i="3"/>
  <c r="D58" i="3"/>
  <c r="D59" i="3"/>
  <c r="D60" i="3"/>
  <c r="D57" i="3"/>
  <c r="D55" i="3"/>
  <c r="D54" i="3"/>
  <c r="D49" i="3"/>
  <c r="D50" i="3"/>
  <c r="D51" i="3"/>
  <c r="D52" i="3"/>
  <c r="D48" i="3"/>
  <c r="D44" i="3"/>
  <c r="D43" i="3"/>
  <c r="D38" i="3"/>
  <c r="D36" i="3"/>
  <c r="D37" i="3"/>
  <c r="D35" i="3"/>
  <c r="D25" i="3"/>
  <c r="D26" i="3"/>
  <c r="D27" i="3"/>
  <c r="D28" i="3"/>
  <c r="D29" i="3"/>
  <c r="D32" i="3"/>
  <c r="D33" i="3"/>
  <c r="D24" i="3"/>
  <c r="D22" i="3"/>
  <c r="D30" i="3"/>
  <c r="D31" i="3"/>
  <c r="D53" i="3"/>
  <c r="D71" i="3"/>
  <c r="P17" i="7"/>
  <c r="F21" i="1" s="1"/>
  <c r="O17" i="7"/>
  <c r="E21" i="1" s="1"/>
  <c r="N17" i="7"/>
  <c r="D15" i="5" s="1"/>
  <c r="F19" i="1"/>
  <c r="E13" i="5"/>
  <c r="D20" i="1"/>
  <c r="D13" i="5"/>
  <c r="B34" i="2"/>
  <c r="B31" i="2"/>
  <c r="E32" i="2"/>
  <c r="F32" i="2"/>
  <c r="G32" i="2"/>
  <c r="H32" i="2"/>
  <c r="I32" i="2"/>
  <c r="B37" i="2"/>
  <c r="A31" i="2"/>
  <c r="P33" i="2"/>
  <c r="P36" i="2"/>
  <c r="P39" i="2"/>
  <c r="B26" i="7"/>
  <c r="B27" i="7"/>
  <c r="B28" i="7"/>
  <c r="B23" i="7"/>
  <c r="A26" i="7"/>
  <c r="D40" i="3" l="1"/>
  <c r="H21" i="1"/>
  <c r="P40" i="2"/>
  <c r="G15" i="5"/>
  <c r="J21" i="1"/>
  <c r="D168" i="3"/>
  <c r="D167" i="3" s="1"/>
  <c r="F15" i="5"/>
  <c r="D103" i="3"/>
  <c r="J138" i="3"/>
  <c r="H103" i="3"/>
  <c r="F13" i="5"/>
  <c r="E19" i="1"/>
  <c r="J19" i="1" s="1"/>
  <c r="E20" i="1"/>
  <c r="J20" i="1" s="1"/>
  <c r="D18" i="3"/>
  <c r="G13" i="5"/>
  <c r="D21" i="1"/>
  <c r="I21" i="1" s="1"/>
  <c r="F20" i="1"/>
  <c r="K20" i="1" s="1"/>
  <c r="E15" i="5"/>
  <c r="D19" i="1"/>
  <c r="I19" i="1" s="1"/>
  <c r="L23" i="12"/>
  <c r="D78" i="3" s="1"/>
  <c r="D80" i="3" s="1"/>
  <c r="H80" i="3" s="1"/>
  <c r="L21" i="1"/>
  <c r="L20" i="1"/>
  <c r="K21" i="1"/>
  <c r="H20" i="1"/>
  <c r="I20" i="1"/>
  <c r="H19" i="1"/>
  <c r="K19" i="1"/>
  <c r="L19" i="1"/>
  <c r="D40" i="2"/>
  <c r="A23" i="7"/>
  <c r="H28" i="7"/>
  <c r="H26" i="7"/>
  <c r="J37" i="2"/>
  <c r="J31" i="2"/>
  <c r="J39" i="2" l="1"/>
  <c r="E37" i="2"/>
  <c r="E39" i="2" s="1"/>
  <c r="H78" i="3"/>
  <c r="H77" i="3" s="1"/>
  <c r="H76" i="3" s="1"/>
  <c r="H139" i="3" s="1"/>
  <c r="J139" i="3" s="1"/>
  <c r="D77" i="3"/>
  <c r="D76" i="3" s="1"/>
  <c r="D139" i="3" s="1"/>
  <c r="J33" i="2"/>
  <c r="J40" i="2" s="1"/>
  <c r="E31" i="2"/>
  <c r="E33" i="2" s="1"/>
  <c r="E40" i="2" s="1"/>
  <c r="N36" i="2"/>
  <c r="B11" i="2" s="1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J31" i="12"/>
  <c r="K31" i="12" s="1"/>
  <c r="J32" i="12"/>
  <c r="K32" i="12" s="1"/>
  <c r="J33" i="12"/>
  <c r="K33" i="1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G15" i="3"/>
  <c r="H15" i="3" s="1"/>
  <c r="G14" i="3"/>
  <c r="L39" i="2" l="1"/>
  <c r="G37" i="2"/>
  <c r="M39" i="2"/>
  <c r="H37" i="2"/>
  <c r="K39" i="2"/>
  <c r="F37" i="2"/>
  <c r="F39" i="2" s="1"/>
  <c r="L33" i="2"/>
  <c r="G31" i="2"/>
  <c r="G33" i="2" s="1"/>
  <c r="K33" i="2"/>
  <c r="K40" i="2" s="1"/>
  <c r="F31" i="2"/>
  <c r="F33" i="2" s="1"/>
  <c r="F40" i="2" s="1"/>
  <c r="G13" i="3"/>
  <c r="G18" i="3"/>
  <c r="H41" i="3"/>
  <c r="H40" i="3" s="1"/>
  <c r="G40" i="3"/>
  <c r="D39" i="3"/>
  <c r="G39" i="2"/>
  <c r="I40" i="2"/>
  <c r="H31" i="2"/>
  <c r="H33" i="2" s="1"/>
  <c r="G193" i="3"/>
  <c r="G141" i="3"/>
  <c r="G168" i="3"/>
  <c r="G175" i="3"/>
  <c r="G146" i="3"/>
  <c r="G56" i="3"/>
  <c r="G65" i="3"/>
  <c r="G184" i="3"/>
  <c r="O36" i="2"/>
  <c r="L31" i="12"/>
  <c r="D142" i="3" s="1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I18" i="3" s="1"/>
  <c r="H46" i="3"/>
  <c r="H45" i="3" s="1"/>
  <c r="H57" i="3"/>
  <c r="H56" i="3" s="1"/>
  <c r="H74" i="3"/>
  <c r="H73" i="3" s="1"/>
  <c r="D141" i="3" l="1"/>
  <c r="D140" i="3" s="1"/>
  <c r="D203" i="3" s="1"/>
  <c r="O39" i="2"/>
  <c r="L40" i="2"/>
  <c r="H39" i="2"/>
  <c r="N39" i="2" s="1"/>
  <c r="J74" i="3"/>
  <c r="F10" i="2"/>
  <c r="Q36" i="2"/>
  <c r="C11" i="2"/>
  <c r="E11" i="2" s="1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Q40" i="2" s="1"/>
  <c r="E10" i="2" l="1"/>
  <c r="F11" i="2"/>
  <c r="E204" i="3" l="1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H24" i="7"/>
  <c r="M13" i="7"/>
  <c r="C11" i="5" s="1"/>
  <c r="M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l="1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P26" i="2"/>
  <c r="M26" i="2"/>
  <c r="K26" i="2"/>
  <c r="I26" i="2"/>
  <c r="L26" i="2"/>
  <c r="E24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18" i="12"/>
  <c r="K18" i="12" s="1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l="1"/>
  <c r="P41" i="2" s="1"/>
  <c r="K28" i="2"/>
  <c r="F28" i="2" s="1"/>
  <c r="K22" i="2"/>
  <c r="F22" i="2" s="1"/>
  <c r="J12" i="7"/>
  <c r="O12" i="7" s="1"/>
  <c r="H23" i="7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F30" i="2" s="1"/>
  <c r="F41" i="2" s="1"/>
  <c r="K29" i="2"/>
  <c r="K30" i="2" s="1"/>
  <c r="K41" i="2" s="1"/>
  <c r="E4" i="12"/>
  <c r="B11" i="12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37" i="12" l="1"/>
  <c r="D14" i="3"/>
  <c r="D16" i="3" s="1"/>
  <c r="H16" i="3" s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H25" i="7"/>
  <c r="M21" i="2"/>
  <c r="H21" i="2" s="1"/>
  <c r="D21" i="2"/>
  <c r="A16" i="1"/>
  <c r="C8" i="2"/>
  <c r="B8" i="2"/>
  <c r="J75" i="3" l="1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M30" i="2" l="1"/>
  <c r="M41" i="2" s="1"/>
  <c r="L30" i="2"/>
  <c r="L41" i="2" s="1"/>
  <c r="I30" i="2"/>
  <c r="I41" i="2" s="1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9" i="2"/>
  <c r="A12" i="3"/>
  <c r="A9" i="5" l="1"/>
  <c r="B9" i="5"/>
  <c r="G23" i="2" l="1"/>
  <c r="H23" i="2"/>
  <c r="G29" i="2"/>
  <c r="D29" i="2"/>
  <c r="H29" i="2"/>
  <c r="H30" i="2" l="1"/>
  <c r="H41" i="2" s="1"/>
  <c r="G30" i="2"/>
  <c r="G41" i="2" s="1"/>
  <c r="D30" i="2"/>
  <c r="D41" i="2" s="1"/>
  <c r="F9" i="2" l="1"/>
  <c r="F12" i="2" l="1"/>
  <c r="G9" i="2" s="1"/>
  <c r="G10" i="2"/>
  <c r="J27" i="2"/>
  <c r="G11" i="2" l="1"/>
  <c r="H11" i="2" s="1"/>
  <c r="H10" i="2"/>
  <c r="H9" i="2"/>
  <c r="J29" i="2"/>
  <c r="E27" i="2"/>
  <c r="E29" i="2" s="1"/>
  <c r="I11" i="2" l="1"/>
  <c r="H12" i="2"/>
  <c r="G12" i="2"/>
  <c r="N29" i="2"/>
  <c r="O29" i="2"/>
  <c r="L11" i="2" l="1"/>
  <c r="L9" i="2"/>
  <c r="L10" i="2"/>
  <c r="Q29" i="2"/>
  <c r="L12" i="2" l="1"/>
  <c r="D10" i="5"/>
  <c r="N10" i="5" s="1"/>
  <c r="J21" i="2"/>
  <c r="J23" i="2" s="1"/>
  <c r="J30" i="2" s="1"/>
  <c r="J41" i="2" s="1"/>
  <c r="E21" i="2" l="1"/>
  <c r="E23" i="2" s="1"/>
  <c r="E30" i="2" s="1"/>
  <c r="E41" i="2" s="1"/>
  <c r="O23" i="2"/>
  <c r="O30" i="2" s="1"/>
  <c r="O41" i="2" s="1"/>
  <c r="N23" i="2" l="1"/>
  <c r="N30" i="2" l="1"/>
  <c r="N41" i="2" s="1"/>
  <c r="C9" i="2"/>
  <c r="C12" i="2" s="1"/>
  <c r="Q23" i="2"/>
  <c r="I10" i="2" l="1"/>
  <c r="Q30" i="2"/>
  <c r="Q41" i="2" s="1"/>
  <c r="B9" i="2"/>
  <c r="E9" i="2" s="1"/>
  <c r="B12" i="2" l="1"/>
  <c r="E12" i="2"/>
  <c r="I9" i="2" l="1"/>
  <c r="D75" i="3"/>
  <c r="D204" i="3" s="1"/>
  <c r="I12" i="2" l="1"/>
</calcChain>
</file>

<file path=xl/sharedStrings.xml><?xml version="1.0" encoding="utf-8"?>
<sst xmlns="http://schemas.openxmlformats.org/spreadsheetml/2006/main" count="771" uniqueCount="304">
  <si>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</si>
  <si>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</si>
  <si>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</si>
  <si>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</si>
  <si>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</si>
  <si>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</si>
  <si>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</si>
  <si>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</si>
  <si>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</si>
  <si>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</si>
  <si>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</si>
  <si>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</si>
  <si>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</si>
  <si>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</si>
  <si>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</si>
  <si>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</si>
  <si>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</si>
  <si>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</si>
  <si>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</si>
  <si>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</si>
  <si>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</si>
  <si>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</si>
  <si>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</si>
  <si>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</si>
  <si>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</si>
  <si>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</si>
  <si>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</si>
  <si>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</si>
  <si>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</si>
  <si>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</si>
  <si>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</si>
  <si>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</si>
  <si>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</si>
  <si>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</si>
  <si>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</si>
  <si>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</si>
  <si>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</si>
  <si>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</si>
  <si>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</si>
  <si>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</si>
  <si>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</si>
  <si>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</si>
  <si>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</si>
  <si>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</si>
  <si>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</si>
  <si>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</si>
  <si>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</si>
  <si>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</si>
  <si>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</si>
  <si>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</si>
  <si>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</si>
  <si>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</si>
  <si>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</si>
  <si>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</si>
  <si>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</si>
  <si>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</si>
  <si>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</si>
  <si>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</si>
  <si>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</si>
  <si>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</si>
  <si>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</si>
  <si>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</si>
  <si>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</si>
  <si>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</si>
  <si>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</si>
  <si>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</si>
  <si>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</si>
  <si>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</si>
  <si>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</si>
  <si>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</si>
  <si>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</si>
  <si>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</si>
  <si>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</si>
  <si>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</si>
  <si>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</si>
  <si>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</si>
  <si>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</si>
  <si>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</si>
  <si>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</si>
  <si>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</si>
  <si>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</si>
  <si>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</si>
  <si>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</si>
  <si>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</si>
  <si>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</si>
  <si>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</si>
  <si>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</si>
  <si>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</si>
  <si>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</si>
  <si>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</si>
  <si>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</si>
  <si>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</si>
  <si>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</si>
  <si>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</si>
  <si>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</si>
  <si>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</si>
  <si>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</si>
  <si>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</si>
  <si>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</si>
  <si>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</si>
  <si>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</si>
  <si>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</si>
  <si>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</si>
  <si>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</si>
  <si>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</si>
  <si>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</si>
  <si>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</si>
  <si>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</si>
  <si>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</si>
  <si>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</si>
  <si>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</si>
  <si>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</si>
  <si>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</si>
  <si>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</si>
  <si>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</si>
  <si>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</si>
  <si>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</si>
  <si>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</si>
  <si>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</si>
  <si>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</si>
  <si>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</si>
  <si>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</si>
  <si>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</si>
  <si>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</si>
  <si>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</si>
  <si>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</si>
  <si>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</si>
  <si>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</si>
  <si>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</si>
  <si>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</si>
  <si>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</si>
  <si>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</si>
  <si>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</si>
  <si>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</si>
  <si>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</si>
  <si>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</si>
  <si>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 xml:space="preserve">Ej. Ed. De Párvulos </t>
  </si>
  <si>
    <t>Ej: Técnicos</t>
  </si>
  <si>
    <t>PDI</t>
  </si>
  <si>
    <t>GENDARMERIA</t>
  </si>
  <si>
    <t>Mensualidad 2020</t>
  </si>
  <si>
    <t>ÁREA APOYO A. EDUCACIONAL</t>
  </si>
  <si>
    <t>ADMINISTRACIÓN CENTRAL</t>
  </si>
  <si>
    <t>COSTO  TOTAL</t>
  </si>
  <si>
    <t>% Respecto a Precio Promedio Mercado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</si>
  <si>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</si>
  <si>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</si>
  <si>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</si>
  <si>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</si>
  <si>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</si>
  <si>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</si>
  <si>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</si>
  <si>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</si>
  <si>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</si>
  <si>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</si>
  <si>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</si>
  <si>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</si>
  <si>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</si>
  <si>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</si>
  <si>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</si>
  <si>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</si>
  <si>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</si>
  <si>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</si>
  <si>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</si>
  <si>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</si>
  <si>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</si>
  <si>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</si>
  <si>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</si>
  <si>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</si>
  <si>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</si>
  <si>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</si>
  <si>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</si>
  <si>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</si>
  <si>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</si>
  <si>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</si>
  <si>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</si>
  <si>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</si>
  <si>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</si>
  <si>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</si>
  <si>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</si>
  <si>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</si>
  <si>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</si>
  <si>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</si>
  <si>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</si>
  <si>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</si>
  <si>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</si>
  <si>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</si>
  <si>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</si>
  <si>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</si>
  <si>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</si>
  <si>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</si>
  <si>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</si>
  <si>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</si>
  <si>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</si>
  <si>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</si>
  <si>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</si>
  <si>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</si>
  <si>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</si>
  <si>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</si>
  <si>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</si>
  <si>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</si>
  <si>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</si>
  <si>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</si>
  <si>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</si>
  <si>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</si>
  <si>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</si>
  <si>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</si>
  <si>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</si>
  <si>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</si>
  <si>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</si>
  <si>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</si>
  <si>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</si>
  <si>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</si>
  <si>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</si>
  <si>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</si>
  <si>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</si>
  <si>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</si>
  <si>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</si>
  <si>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</si>
  <si>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</si>
  <si>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REMUNERACIONES 2020</t>
  </si>
  <si>
    <t>Gasto Total Empresa</t>
  </si>
  <si>
    <t>Costo Total anual por Servidor 2020</t>
  </si>
  <si>
    <t>Costo Total por Servidor Reajustado 2021</t>
  </si>
  <si>
    <t xml:space="preserve"> Sala Cuna Olitas de Mar</t>
  </si>
  <si>
    <t>Media Jornada</t>
  </si>
  <si>
    <t>Nocturna</t>
  </si>
  <si>
    <t>Diurna</t>
  </si>
  <si>
    <t>Meta Ocupación niños 2021</t>
  </si>
  <si>
    <t>Mensualidad 2021</t>
  </si>
  <si>
    <t>Propuesta Mensualidad 2021</t>
  </si>
  <si>
    <t>Tarifa 2021</t>
  </si>
  <si>
    <t>Matrícula 2021</t>
  </si>
  <si>
    <t>TOTAL</t>
  </si>
  <si>
    <t>COSTO INDIRECTO ESTIMADO 2021</t>
  </si>
  <si>
    <t>Sala Cuna ABC</t>
  </si>
  <si>
    <t>COSTO DIRECTO ESTIMADO 2021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</si>
  <si>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</si>
  <si>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</si>
  <si>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</si>
  <si>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</si>
  <si>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</si>
  <si>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</si>
  <si>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</si>
  <si>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</si>
  <si>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</si>
  <si>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BIENIQUE</t>
  </si>
  <si>
    <t xml:space="preserve"> Sala Cuna pequeños héroes</t>
  </si>
  <si>
    <t xml:space="preserve">Paulina </t>
  </si>
  <si>
    <t>Cabrera</t>
  </si>
  <si>
    <t>Educadora de Párvulos</t>
  </si>
  <si>
    <t>POR CONTRATAR</t>
  </si>
  <si>
    <t>Manip de alimentos</t>
  </si>
  <si>
    <t>Encargada de Aseo</t>
  </si>
  <si>
    <t xml:space="preserve">MACARENA </t>
  </si>
  <si>
    <t>MOLINA</t>
  </si>
  <si>
    <t xml:space="preserve">ANDREA </t>
  </si>
  <si>
    <t>TOLOZA</t>
  </si>
  <si>
    <t>Auxiliar de aseo</t>
  </si>
  <si>
    <t>Técnico en parvulos</t>
  </si>
  <si>
    <t>TANIA</t>
  </si>
  <si>
    <t>MANSILLA</t>
  </si>
  <si>
    <t>LYNDA ZUÑIGA</t>
  </si>
  <si>
    <t>YESICA AHUMADA</t>
  </si>
  <si>
    <t>MIRIAM DÍAZ</t>
  </si>
  <si>
    <t>AHUMADA</t>
  </si>
  <si>
    <t>ZUÑIGA</t>
  </si>
  <si>
    <t>DIAZ</t>
  </si>
  <si>
    <t>media Jornada</t>
  </si>
  <si>
    <t>MARCELA</t>
  </si>
  <si>
    <t>PALAPE</t>
  </si>
  <si>
    <t>CONTADOR GENERAL</t>
  </si>
  <si>
    <t>BIANCA</t>
  </si>
  <si>
    <t>JAQUE</t>
  </si>
  <si>
    <t>ADMINIST CONTABLE</t>
  </si>
  <si>
    <t>CLAUDIA</t>
  </si>
  <si>
    <t>COVARRUBIAS</t>
  </si>
  <si>
    <t>ENCARGADA RRHH</t>
  </si>
  <si>
    <t xml:space="preserve">NICOLAS </t>
  </si>
  <si>
    <t>VASQUEZ</t>
  </si>
  <si>
    <t>ENCARGADO INFORMATICA</t>
  </si>
  <si>
    <t>GINO</t>
  </si>
  <si>
    <t>BAVESTRELLO</t>
  </si>
  <si>
    <t>INSP TECN DE OBRAS</t>
  </si>
  <si>
    <t xml:space="preserve">ANTONIO </t>
  </si>
  <si>
    <t>ROJAS</t>
  </si>
  <si>
    <t>MONDACA</t>
  </si>
  <si>
    <t>MAESTRO</t>
  </si>
  <si>
    <t>ALAMIRO</t>
  </si>
  <si>
    <t>HECTOR</t>
  </si>
  <si>
    <t>Sala Cuna San Francisco</t>
  </si>
  <si>
    <t>Sala Cuna manutara</t>
  </si>
  <si>
    <t>Jardín Infantil San Francisco</t>
  </si>
  <si>
    <t>Jardín Infantil Manutara</t>
  </si>
  <si>
    <t>COSTOS DIRECTOS: PLANILLA COMUN J.INF Y SALA CUNA CASILLAS NARANJAS (AFL) Y AMARILLLO PAF</t>
  </si>
  <si>
    <t>COSTOS DE MAQUINAS Y EQUIPOS NO SE PUEDE INGRESAR DATOS: CELDA BLOQUEADA</t>
  </si>
  <si>
    <t>SERVICIOS DE IMPRESIÓN: DIMACOFI</t>
  </si>
  <si>
    <t>SERVICIOS GENERALES: FUMIGACION (4 VECES EN EL AÑO</t>
  </si>
  <si>
    <t>GASTOS BASICOS</t>
  </si>
  <si>
    <t>LUZ, AGUA, GAS</t>
  </si>
  <si>
    <t>SE INCREMENTA EN UN 23% POR GASTO DE SALA CUNA</t>
  </si>
  <si>
    <t xml:space="preserve">GAS 4 cilindros mensuales- $19.000 c/u  anual 11 meses </t>
  </si>
  <si>
    <t>RENOVACION CORTINAS JARDIN INF (3 cortinas)</t>
  </si>
  <si>
    <t>ADQUISICION DE 2 EXTINTORES PARA S.C ($ 31.364.-c/u y mantenciones 6 $ 10.495 c/u)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</si>
</sst>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&quot;$&quot;#,##0;[Red]&quot;$&quot;\-#,##0"/>
    <numFmt numFmtId="165" formatCode="_ &quot;$&quot;* #,##0_ ;_ &quot;$&quot;* \-#,##0_ ;_ &quot;$&quot;* &quot;-&quot;_ ;_ @_ 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[$€]* #,##0.00_-;\-[$€]* #,##0.00_-;_-[$€]* \-??_-;_-@_-"/>
    <numFmt numFmtId="187" formatCode="_-[$€-2]\ * #,##0.00_-;\-[$€-2]\ * #,##0.00_-;_-[$€-2]\ * \-??_-"/>
    <numFmt numFmtId="188" formatCode="_-* #,##0.00&quot; €&quot;_-;\-* #,##0.00&quot; €&quot;_-;_-* \-??&quot; €&quot;_-;_-@_-"/>
  </numFmts>
  <fonts count="37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rgb="FF69D8FF"/>
        <bgColor indexed="64"/>
      </patternFill>
    </fill>
    <fill>
      <patternFill patternType="gray125">
        <bgColor rgb="FF69D8FF"/>
      </patternFill>
    </fill>
  </fills>
  <borders count="2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13" fillId="0" borderId="0"/>
    <xf numFmtId="166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9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4" fontId="30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72" fontId="13" fillId="0" borderId="0" applyFill="0" applyBorder="0" applyAlignment="0" applyProtection="0"/>
    <xf numFmtId="166" fontId="13" fillId="0" borderId="0" applyFill="0" applyBorder="0" applyAlignment="0" applyProtection="0"/>
    <xf numFmtId="18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165" fontId="13" fillId="0" borderId="0" applyFont="0" applyFill="0" applyBorder="0" applyAlignment="0" applyProtection="0"/>
    <xf numFmtId="0" fontId="4" fillId="8" borderId="239" applyNumberFormat="0" applyAlignment="0" applyProtection="0"/>
    <xf numFmtId="0" fontId="4" fillId="8" borderId="234" applyNumberFormat="0" applyAlignment="0" applyProtection="0"/>
    <xf numFmtId="0" fontId="4" fillId="8" borderId="236" applyNumberFormat="0" applyAlignment="0" applyProtection="0"/>
    <xf numFmtId="0" fontId="4" fillId="8" borderId="250" applyNumberFormat="0" applyAlignment="0" applyProtection="0"/>
    <xf numFmtId="0" fontId="4" fillId="8" borderId="243" applyNumberFormat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5" borderId="0" applyNumberFormat="0" applyBorder="0" applyAlignment="0" applyProtection="0"/>
    <xf numFmtId="0" fontId="9" fillId="6" borderId="0" applyNumberFormat="0" applyBorder="0" applyAlignment="0" applyProtection="0"/>
    <xf numFmtId="186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56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13" fillId="0" borderId="0" applyFill="0" applyBorder="0" applyAlignment="0" applyProtection="0"/>
    <xf numFmtId="0" fontId="4" fillId="8" borderId="259" applyNumberFormat="0" applyAlignment="0" applyProtection="0"/>
    <xf numFmtId="169" fontId="13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6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8" fontId="12" fillId="9" borderId="0" xfId="13" applyNumberFormat="1" applyFont="1" applyFill="1" applyBorder="1" applyAlignment="1" applyProtection="1">
      <alignment vertical="center"/>
    </xf>
    <xf numFmtId="166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5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169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168" fontId="12" fillId="34" borderId="37" xfId="0" applyNumberFormat="1" applyFont="1" applyFill="1" applyBorder="1" applyAlignment="1" applyProtection="1">
      <alignment horizontal="center" vertical="center" wrapText="1"/>
    </xf>
    <xf numFmtId="168" fontId="12" fillId="15" borderId="3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center" vertical="center" wrapText="1"/>
    </xf>
    <xf numFmtId="0" fontId="22" fillId="0" borderId="4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7" fontId="12" fillId="26" borderId="20" xfId="0" applyNumberFormat="1" applyFont="1" applyFill="1" applyBorder="1" applyAlignment="1" applyProtection="1">
      <alignment horizontal="center" vertical="center"/>
    </xf>
    <xf numFmtId="170" fontId="12" fillId="19" borderId="20" xfId="16" applyNumberFormat="1" applyFont="1" applyFill="1" applyBorder="1" applyAlignment="1" applyProtection="1">
      <alignment horizontal="center" vertical="center"/>
    </xf>
    <xf numFmtId="0" fontId="12" fillId="16" borderId="29" xfId="0" applyFont="1" applyFill="1" applyBorder="1" applyAlignment="1" applyProtection="1">
      <alignment horizontal="center" vertical="center" wrapText="1"/>
    </xf>
    <xf numFmtId="177" fontId="0" fillId="26" borderId="20" xfId="0" applyNumberFormat="1" applyFont="1" applyFill="1" applyBorder="1" applyAlignment="1" applyProtection="1">
      <alignment horizontal="center" vertical="center"/>
    </xf>
    <xf numFmtId="168" fontId="12" fillId="15" borderId="47" xfId="0" applyNumberFormat="1" applyFont="1" applyFill="1" applyBorder="1" applyAlignment="1" applyProtection="1">
      <alignment horizontal="center" vertical="center" wrapText="1"/>
    </xf>
    <xf numFmtId="177" fontId="22" fillId="26" borderId="16" xfId="0" applyNumberFormat="1" applyFont="1" applyFill="1" applyBorder="1" applyAlignment="1" applyProtection="1">
      <alignment horizontal="right" vertical="center"/>
    </xf>
    <xf numFmtId="169" fontId="14" fillId="19" borderId="6" xfId="16" applyFont="1" applyFill="1" applyBorder="1" applyAlignment="1" applyProtection="1">
      <alignment horizontal="center" vertical="center"/>
    </xf>
    <xf numFmtId="0" fontId="12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38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9" fontId="13" fillId="0" borderId="20" xfId="16" applyBorder="1" applyAlignment="1" applyProtection="1">
      <alignment horizontal="center" vertical="center"/>
    </xf>
    <xf numFmtId="169" fontId="12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2" fillId="15" borderId="51" xfId="0" applyNumberFormat="1" applyFont="1" applyFill="1" applyBorder="1" applyAlignment="1" applyProtection="1">
      <alignment horizontal="center" vertical="center" wrapText="1"/>
    </xf>
    <xf numFmtId="168" fontId="12" fillId="15" borderId="52" xfId="0" applyNumberFormat="1" applyFont="1" applyFill="1" applyBorder="1" applyAlignment="1" applyProtection="1">
      <alignment horizontal="center" vertical="center" wrapText="1"/>
    </xf>
    <xf numFmtId="168" fontId="12" fillId="34" borderId="52" xfId="0" applyNumberFormat="1" applyFont="1" applyFill="1" applyBorder="1" applyAlignment="1" applyProtection="1">
      <alignment horizontal="center" vertical="center" wrapText="1"/>
    </xf>
    <xf numFmtId="168" fontId="12" fillId="34" borderId="55" xfId="0" applyNumberFormat="1" applyFont="1" applyFill="1" applyBorder="1" applyAlignment="1" applyProtection="1">
      <alignment horizontal="center" vertical="center" wrapText="1"/>
    </xf>
    <xf numFmtId="168" fontId="12" fillId="15" borderId="55" xfId="0" applyNumberFormat="1" applyFont="1" applyFill="1" applyBorder="1" applyAlignment="1" applyProtection="1">
      <alignment horizontal="center" vertical="center" wrapText="1"/>
    </xf>
    <xf numFmtId="168" fontId="12" fillId="15" borderId="56" xfId="0" applyNumberFormat="1" applyFont="1" applyFill="1" applyBorder="1" applyAlignment="1" applyProtection="1">
      <alignment horizontal="center" vertical="center" wrapText="1"/>
    </xf>
    <xf numFmtId="168" fontId="12" fillId="34" borderId="58" xfId="0" applyNumberFormat="1" applyFont="1" applyFill="1" applyBorder="1" applyAlignment="1" applyProtection="1">
      <alignment horizontal="center" vertical="center" wrapText="1"/>
    </xf>
    <xf numFmtId="168" fontId="12" fillId="34" borderId="59" xfId="0" applyNumberFormat="1" applyFont="1" applyFill="1" applyBorder="1" applyAlignment="1" applyProtection="1">
      <alignment horizontal="center" vertical="center" wrapText="1"/>
    </xf>
    <xf numFmtId="0" fontId="0" fillId="12" borderId="61" xfId="0" applyFont="1" applyFill="1" applyBorder="1" applyProtection="1">
      <protection locked="0"/>
    </xf>
    <xf numFmtId="168" fontId="12" fillId="34" borderId="72" xfId="0" applyNumberFormat="1" applyFont="1" applyFill="1" applyBorder="1" applyAlignment="1" applyProtection="1">
      <alignment horizontal="center" vertical="center" wrapText="1"/>
    </xf>
    <xf numFmtId="168" fontId="12" fillId="34" borderId="73" xfId="0" applyNumberFormat="1" applyFont="1" applyFill="1" applyBorder="1" applyAlignment="1" applyProtection="1">
      <alignment horizontal="center" vertical="center" wrapText="1"/>
    </xf>
    <xf numFmtId="168" fontId="12" fillId="34" borderId="74" xfId="0" applyNumberFormat="1" applyFont="1" applyFill="1" applyBorder="1" applyAlignment="1" applyProtection="1">
      <alignment horizontal="center" vertical="center" wrapText="1"/>
    </xf>
    <xf numFmtId="178" fontId="0" fillId="29" borderId="63" xfId="13" applyNumberFormat="1" applyFont="1" applyFill="1" applyBorder="1" applyAlignment="1" applyProtection="1">
      <alignment vertical="center"/>
    </xf>
    <xf numFmtId="168" fontId="12" fillId="34" borderId="75" xfId="0" applyNumberFormat="1" applyFont="1" applyFill="1" applyBorder="1" applyAlignment="1" applyProtection="1">
      <alignment horizontal="center" vertical="center" wrapText="1"/>
    </xf>
    <xf numFmtId="168" fontId="12" fillId="34" borderId="76" xfId="0" applyNumberFormat="1" applyFont="1" applyFill="1" applyBorder="1" applyAlignment="1" applyProtection="1">
      <alignment horizontal="center" vertical="center" wrapText="1"/>
    </xf>
    <xf numFmtId="168" fontId="12" fillId="34" borderId="77" xfId="0" applyNumberFormat="1" applyFont="1" applyFill="1" applyBorder="1" applyAlignment="1" applyProtection="1">
      <alignment horizontal="center" vertical="center" wrapText="1"/>
    </xf>
    <xf numFmtId="0" fontId="12" fillId="16" borderId="78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9" fontId="28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4" fillId="11" borderId="0" xfId="0" applyFont="1" applyFill="1" applyBorder="1" applyAlignment="1" applyProtection="1">
      <alignment horizontal="left" vertical="center" indent="2"/>
    </xf>
    <xf numFmtId="0" fontId="24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12" borderId="87" xfId="0" applyFont="1" applyFill="1" applyBorder="1" applyProtection="1">
      <protection locked="0"/>
    </xf>
    <xf numFmtId="0" fontId="0" fillId="12" borderId="88" xfId="0" applyFont="1" applyFill="1" applyBorder="1" applyProtection="1">
      <protection locked="0"/>
    </xf>
    <xf numFmtId="178" fontId="0" fillId="12" borderId="89" xfId="13" applyNumberFormat="1" applyFont="1" applyFill="1" applyBorder="1" applyAlignment="1" applyProtection="1">
      <alignment vertical="center"/>
      <protection locked="0"/>
    </xf>
    <xf numFmtId="178" fontId="0" fillId="12" borderId="90" xfId="13" applyNumberFormat="1" applyFont="1" applyFill="1" applyBorder="1" applyAlignment="1" applyProtection="1">
      <alignment vertical="center"/>
      <protection locked="0"/>
    </xf>
    <xf numFmtId="0" fontId="0" fillId="12" borderId="91" xfId="0" applyFont="1" applyFill="1" applyBorder="1" applyAlignment="1" applyProtection="1">
      <alignment horizontal="left" vertical="center"/>
      <protection locked="0"/>
    </xf>
    <xf numFmtId="0" fontId="0" fillId="12" borderId="91" xfId="0" applyFont="1" applyFill="1" applyBorder="1" applyProtection="1">
      <protection locked="0"/>
    </xf>
    <xf numFmtId="0" fontId="0" fillId="12" borderId="92" xfId="0" applyFont="1" applyFill="1" applyBorder="1" applyProtection="1">
      <protection locked="0"/>
    </xf>
    <xf numFmtId="178" fontId="0" fillId="12" borderId="91" xfId="13" applyNumberFormat="1" applyFont="1" applyFill="1" applyBorder="1" applyAlignment="1" applyProtection="1">
      <alignment vertical="center"/>
      <protection locked="0"/>
    </xf>
    <xf numFmtId="0" fontId="0" fillId="12" borderId="89" xfId="0" applyFont="1" applyFill="1" applyBorder="1" applyAlignment="1" applyProtection="1">
      <alignment horizontal="left" vertical="center"/>
      <protection locked="0"/>
    </xf>
    <xf numFmtId="0" fontId="0" fillId="12" borderId="89" xfId="0" applyFont="1" applyFill="1" applyBorder="1" applyProtection="1">
      <protection locked="0"/>
    </xf>
    <xf numFmtId="0" fontId="0" fillId="12" borderId="94" xfId="0" applyFont="1" applyFill="1" applyBorder="1" applyProtection="1">
      <protection locked="0"/>
    </xf>
    <xf numFmtId="0" fontId="0" fillId="12" borderId="85" xfId="0" applyFont="1" applyFill="1" applyBorder="1" applyAlignment="1" applyProtection="1">
      <alignment horizontal="left" vertical="center"/>
      <protection locked="0"/>
    </xf>
    <xf numFmtId="0" fontId="0" fillId="12" borderId="85" xfId="0" applyFont="1" applyFill="1" applyBorder="1" applyProtection="1">
      <protection locked="0"/>
    </xf>
    <xf numFmtId="0" fontId="0" fillId="12" borderId="90" xfId="0" applyFont="1" applyFill="1" applyBorder="1" applyAlignment="1" applyProtection="1">
      <alignment horizontal="left" vertical="center"/>
      <protection locked="0"/>
    </xf>
    <xf numFmtId="0" fontId="0" fillId="12" borderId="90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7" fontId="0" fillId="0" borderId="97" xfId="0" applyNumberFormat="1" applyFont="1" applyFill="1" applyBorder="1" applyAlignment="1" applyProtection="1">
      <alignment horizontal="right" vertical="center"/>
    </xf>
    <xf numFmtId="177" fontId="0" fillId="0" borderId="98" xfId="0" applyNumberFormat="1" applyFont="1" applyFill="1" applyBorder="1" applyAlignment="1" applyProtection="1">
      <alignment horizontal="right" vertical="center"/>
    </xf>
    <xf numFmtId="177" fontId="0" fillId="0" borderId="99" xfId="0" applyNumberFormat="1" applyFont="1" applyFill="1" applyBorder="1" applyAlignment="1" applyProtection="1">
      <alignment horizontal="right" vertical="center"/>
    </xf>
    <xf numFmtId="178" fontId="0" fillId="12" borderId="94" xfId="13" applyNumberFormat="1" applyFont="1" applyFill="1" applyBorder="1" applyAlignment="1" applyProtection="1">
      <alignment vertical="center"/>
      <protection locked="0"/>
    </xf>
    <xf numFmtId="178" fontId="0" fillId="12" borderId="96" xfId="13" applyNumberFormat="1" applyFont="1" applyFill="1" applyBorder="1" applyAlignment="1" applyProtection="1">
      <alignment vertical="center"/>
      <protection locked="0"/>
    </xf>
    <xf numFmtId="178" fontId="0" fillId="12" borderId="92" xfId="13" applyNumberFormat="1" applyFont="1" applyFill="1" applyBorder="1" applyAlignment="1" applyProtection="1">
      <alignment vertical="center"/>
      <protection locked="0"/>
    </xf>
    <xf numFmtId="177" fontId="0" fillId="29" borderId="98" xfId="0" applyNumberFormat="1" applyFont="1" applyFill="1" applyBorder="1" applyAlignment="1" applyProtection="1">
      <alignment horizontal="right" vertical="center"/>
    </xf>
    <xf numFmtId="177" fontId="0" fillId="29" borderId="99" xfId="0" applyNumberFormat="1" applyFont="1" applyFill="1" applyBorder="1" applyAlignment="1" applyProtection="1">
      <alignment horizontal="right" vertical="center"/>
    </xf>
    <xf numFmtId="177" fontId="0" fillId="29" borderId="97" xfId="0" applyNumberFormat="1" applyFont="1" applyFill="1" applyBorder="1" applyAlignment="1" applyProtection="1">
      <alignment horizontal="right" vertical="center"/>
    </xf>
    <xf numFmtId="177" fontId="0" fillId="29" borderId="93" xfId="0" applyNumberFormat="1" applyFont="1" applyFill="1" applyBorder="1" applyAlignment="1" applyProtection="1">
      <alignment horizontal="right" vertical="center"/>
    </xf>
    <xf numFmtId="177" fontId="0" fillId="29" borderId="100" xfId="0" applyNumberFormat="1" applyFont="1" applyFill="1" applyBorder="1" applyAlignment="1" applyProtection="1">
      <alignment horizontal="right" vertical="center"/>
    </xf>
    <xf numFmtId="177" fontId="0" fillId="0" borderId="93" xfId="0" applyNumberFormat="1" applyFont="1" applyFill="1" applyBorder="1" applyAlignment="1" applyProtection="1">
      <alignment horizontal="right" vertical="center"/>
    </xf>
    <xf numFmtId="177" fontId="0" fillId="0" borderId="100" xfId="0" applyNumberFormat="1" applyFont="1" applyFill="1" applyBorder="1" applyAlignment="1" applyProtection="1">
      <alignment horizontal="right" vertical="center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</xf>
    <xf numFmtId="0" fontId="10" fillId="23" borderId="90" xfId="0" applyFont="1" applyFill="1" applyBorder="1" applyAlignment="1" applyProtection="1">
      <alignment horizontal="left" vertical="center"/>
    </xf>
    <xf numFmtId="0" fontId="10" fillId="20" borderId="90" xfId="0" applyFont="1" applyFill="1" applyBorder="1" applyAlignment="1" applyProtection="1">
      <alignment horizontal="left" vertical="center"/>
    </xf>
    <xf numFmtId="175" fontId="18" fillId="0" borderId="90" xfId="0" applyNumberFormat="1" applyFont="1" applyFill="1" applyBorder="1" applyAlignment="1" applyProtection="1">
      <alignment horizontal="left"/>
    </xf>
    <xf numFmtId="0" fontId="12" fillId="21" borderId="90" xfId="0" applyFont="1" applyFill="1" applyBorder="1" applyAlignment="1" applyProtection="1">
      <alignment horizontal="center" vertical="center"/>
    </xf>
    <xf numFmtId="0" fontId="12" fillId="20" borderId="90" xfId="0" applyFont="1" applyFill="1" applyBorder="1" applyAlignment="1" applyProtection="1">
      <alignment horizontal="center" vertical="center" wrapText="1"/>
    </xf>
    <xf numFmtId="1" fontId="0" fillId="0" borderId="90" xfId="0" applyNumberFormat="1" applyFont="1" applyFill="1" applyBorder="1" applyAlignment="1" applyProtection="1">
      <alignment horizontal="center" vertical="center" wrapText="1"/>
    </xf>
    <xf numFmtId="168" fontId="10" fillId="23" borderId="90" xfId="13" applyNumberFormat="1" applyFont="1" applyFill="1" applyBorder="1" applyAlignment="1" applyProtection="1">
      <alignment horizontal="center" vertical="center"/>
    </xf>
    <xf numFmtId="168" fontId="10" fillId="20" borderId="90" xfId="13" applyNumberFormat="1" applyFont="1" applyFill="1" applyBorder="1" applyAlignment="1" applyProtection="1">
      <alignment horizontal="center" vertical="center"/>
    </xf>
    <xf numFmtId="168" fontId="0" fillId="12" borderId="90" xfId="13" applyNumberFormat="1" applyFont="1" applyFill="1" applyBorder="1" applyAlignment="1" applyProtection="1">
      <alignment vertical="center"/>
      <protection locked="0"/>
    </xf>
    <xf numFmtId="0" fontId="12" fillId="30" borderId="90" xfId="0" applyFont="1" applyFill="1" applyBorder="1" applyAlignment="1" applyProtection="1">
      <alignment horizontal="center" vertical="center" wrapText="1"/>
    </xf>
    <xf numFmtId="0" fontId="12" fillId="31" borderId="90" xfId="0" applyFont="1" applyFill="1" applyBorder="1" applyAlignment="1" applyProtection="1">
      <alignment horizontal="left" vertical="center"/>
    </xf>
    <xf numFmtId="168" fontId="12" fillId="30" borderId="90" xfId="0" applyNumberFormat="1" applyFont="1" applyFill="1" applyBorder="1" applyAlignment="1" applyProtection="1">
      <alignment horizontal="center" vertical="center" wrapText="1"/>
    </xf>
    <xf numFmtId="9" fontId="0" fillId="12" borderId="104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9" borderId="123" xfId="13" applyNumberFormat="1" applyFont="1" applyFill="1" applyBorder="1" applyAlignment="1" applyProtection="1">
      <alignment vertical="center"/>
    </xf>
    <xf numFmtId="180" fontId="13" fillId="36" borderId="125" xfId="16" applyNumberFormat="1" applyFill="1" applyBorder="1" applyAlignment="1" applyProtection="1">
      <alignment horizontal="center" vertical="center"/>
    </xf>
    <xf numFmtId="180" fontId="13" fillId="36" borderId="126" xfId="16" applyNumberFormat="1" applyFill="1" applyBorder="1" applyAlignment="1" applyProtection="1">
      <alignment horizontal="center" vertical="center"/>
    </xf>
    <xf numFmtId="180" fontId="13" fillId="36" borderId="127" xfId="16" applyNumberFormat="1" applyFill="1" applyBorder="1" applyAlignment="1" applyProtection="1">
      <alignment horizontal="center" vertical="center"/>
    </xf>
    <xf numFmtId="180" fontId="13" fillId="36" borderId="128" xfId="16" applyNumberFormat="1" applyFill="1" applyBorder="1" applyAlignment="1" applyProtection="1">
      <alignment horizontal="center" vertical="center"/>
    </xf>
    <xf numFmtId="179" fontId="0" fillId="12" borderId="125" xfId="13" applyNumberFormat="1" applyFont="1" applyFill="1" applyBorder="1" applyAlignment="1" applyProtection="1">
      <alignment horizontal="center" vertical="center"/>
      <protection locked="0"/>
    </xf>
    <xf numFmtId="179" fontId="0" fillId="12" borderId="130" xfId="13" applyNumberFormat="1" applyFont="1" applyFill="1" applyBorder="1" applyAlignment="1" applyProtection="1">
      <alignment horizontal="center" vertical="center"/>
      <protection locked="0"/>
    </xf>
    <xf numFmtId="179" fontId="12" fillId="29" borderId="126" xfId="0" applyNumberFormat="1" applyFont="1" applyFill="1" applyBorder="1" applyAlignment="1" applyProtection="1">
      <alignment vertical="center"/>
    </xf>
    <xf numFmtId="179" fontId="12" fillId="29" borderId="131" xfId="0" applyNumberFormat="1" applyFont="1" applyFill="1" applyBorder="1" applyAlignment="1" applyProtection="1">
      <alignment vertical="center"/>
    </xf>
    <xf numFmtId="0" fontId="0" fillId="45" borderId="64" xfId="0" applyFont="1" applyFill="1" applyBorder="1" applyAlignment="1" applyProtection="1">
      <alignment horizontal="left" vertical="center"/>
    </xf>
    <xf numFmtId="0" fontId="0" fillId="45" borderId="62" xfId="0" applyFont="1" applyFill="1" applyBorder="1" applyAlignment="1" applyProtection="1">
      <alignment horizontal="left" vertical="center"/>
    </xf>
    <xf numFmtId="169" fontId="13" fillId="0" borderId="0" xfId="16" applyProtection="1"/>
    <xf numFmtId="181" fontId="13" fillId="0" borderId="0" xfId="13" applyNumberFormat="1" applyProtection="1"/>
    <xf numFmtId="0" fontId="22" fillId="12" borderId="41" xfId="0" applyFont="1" applyFill="1" applyBorder="1" applyAlignment="1" applyProtection="1">
      <alignment horizontal="center" vertical="center"/>
      <protection locked="0"/>
    </xf>
    <xf numFmtId="178" fontId="0" fillId="12" borderId="127" xfId="13" applyNumberFormat="1" applyFont="1" applyFill="1" applyBorder="1" applyAlignment="1" applyProtection="1">
      <alignment vertical="center"/>
      <protection locked="0"/>
    </xf>
    <xf numFmtId="9" fontId="0" fillId="12" borderId="128" xfId="0" applyNumberFormat="1" applyFont="1" applyFill="1" applyBorder="1" applyAlignment="1" applyProtection="1">
      <alignment horizontal="center" vertical="center"/>
      <protection locked="0"/>
    </xf>
    <xf numFmtId="177" fontId="0" fillId="0" borderId="129" xfId="0" applyNumberFormat="1" applyFont="1" applyFill="1" applyBorder="1" applyAlignment="1" applyProtection="1">
      <alignment horizontal="right" vertical="center"/>
    </xf>
    <xf numFmtId="177" fontId="0" fillId="0" borderId="94" xfId="0" applyNumberFormat="1" applyFont="1" applyFill="1" applyBorder="1" applyAlignment="1" applyProtection="1">
      <alignment horizontal="right" vertical="center"/>
    </xf>
    <xf numFmtId="177" fontId="0" fillId="0" borderId="137" xfId="0" applyNumberFormat="1" applyFont="1" applyFill="1" applyBorder="1" applyAlignment="1" applyProtection="1">
      <alignment horizontal="right" vertical="center"/>
    </xf>
    <xf numFmtId="177" fontId="0" fillId="0" borderId="123" xfId="0" applyNumberFormat="1" applyFont="1" applyFill="1" applyBorder="1" applyAlignment="1" applyProtection="1">
      <alignment horizontal="right" vertical="center"/>
    </xf>
    <xf numFmtId="9" fontId="0" fillId="11" borderId="126" xfId="0" applyNumberFormat="1" applyFont="1" applyFill="1" applyBorder="1" applyAlignment="1" applyProtection="1">
      <alignment horizontal="center" vertical="center"/>
    </xf>
    <xf numFmtId="9" fontId="0" fillId="11" borderId="129" xfId="0" applyNumberFormat="1" applyFont="1" applyFill="1" applyBorder="1" applyAlignment="1" applyProtection="1">
      <alignment horizontal="center" vertical="center"/>
    </xf>
    <xf numFmtId="9" fontId="0" fillId="12" borderId="132" xfId="0" applyNumberFormat="1" applyFont="1" applyFill="1" applyBorder="1" applyAlignment="1" applyProtection="1">
      <alignment horizontal="center" vertical="center"/>
      <protection locked="0"/>
    </xf>
    <xf numFmtId="9" fontId="0" fillId="11" borderId="131" xfId="0" applyNumberFormat="1" applyFont="1" applyFill="1" applyBorder="1" applyAlignment="1" applyProtection="1">
      <alignment horizontal="center" vertical="center"/>
    </xf>
    <xf numFmtId="0" fontId="9" fillId="14" borderId="132" xfId="0" applyFont="1" applyFill="1" applyBorder="1" applyAlignment="1" applyProtection="1">
      <alignment horizontal="center" vertical="center"/>
    </xf>
    <xf numFmtId="0" fontId="9" fillId="46" borderId="131" xfId="0" applyFont="1" applyFill="1" applyBorder="1" applyAlignment="1" applyProtection="1">
      <alignment horizontal="center" vertical="center"/>
    </xf>
    <xf numFmtId="0" fontId="9" fillId="14" borderId="123" xfId="0" applyFont="1" applyFill="1" applyBorder="1" applyAlignment="1" applyProtection="1">
      <alignment horizontal="center" vertical="center"/>
    </xf>
    <xf numFmtId="0" fontId="9" fillId="46" borderId="144" xfId="0" applyFont="1" applyFill="1" applyBorder="1" applyAlignment="1" applyProtection="1">
      <alignment horizontal="center" vertical="center"/>
    </xf>
    <xf numFmtId="169" fontId="0" fillId="12" borderId="106" xfId="16" applyFont="1" applyFill="1" applyBorder="1" applyAlignment="1" applyProtection="1">
      <alignment horizontal="center" vertical="center"/>
      <protection locked="0"/>
    </xf>
    <xf numFmtId="169" fontId="0" fillId="12" borderId="145" xfId="16" applyFont="1" applyFill="1" applyBorder="1" applyAlignment="1" applyProtection="1">
      <alignment horizontal="center" vertical="center"/>
      <protection locked="0"/>
    </xf>
    <xf numFmtId="169" fontId="0" fillId="12" borderId="144" xfId="16" applyFont="1" applyFill="1" applyBorder="1" applyAlignment="1" applyProtection="1">
      <alignment horizontal="center" vertical="center"/>
      <protection locked="0"/>
    </xf>
    <xf numFmtId="177" fontId="0" fillId="0" borderId="126" xfId="0" applyNumberFormat="1" applyFont="1" applyFill="1" applyBorder="1" applyAlignment="1" applyProtection="1">
      <alignment horizontal="right" vertical="center"/>
    </xf>
    <xf numFmtId="177" fontId="0" fillId="0" borderId="13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9" fillId="47" borderId="132" xfId="0" applyFont="1" applyFill="1" applyBorder="1" applyAlignment="1" applyProtection="1">
      <alignment horizontal="center" vertical="center"/>
    </xf>
    <xf numFmtId="0" fontId="9" fillId="47" borderId="131" xfId="0" applyFont="1" applyFill="1" applyBorder="1" applyAlignment="1" applyProtection="1">
      <alignment horizontal="center" vertical="center"/>
    </xf>
    <xf numFmtId="169" fontId="29" fillId="0" borderId="108" xfId="16" applyFont="1" applyFill="1" applyBorder="1" applyAlignment="1" applyProtection="1">
      <alignment horizontal="center" vertical="center"/>
    </xf>
    <xf numFmtId="169" fontId="29" fillId="0" borderId="111" xfId="16" applyFont="1" applyFill="1" applyBorder="1" applyAlignment="1" applyProtection="1">
      <alignment horizontal="center" vertical="center"/>
    </xf>
    <xf numFmtId="177" fontId="0" fillId="27" borderId="110" xfId="0" applyNumberFormat="1" applyFont="1" applyFill="1" applyBorder="1" applyAlignment="1" applyProtection="1">
      <alignment horizontal="right" vertical="center"/>
    </xf>
    <xf numFmtId="177" fontId="0" fillId="27" borderId="148" xfId="0" applyNumberFormat="1" applyFont="1" applyFill="1" applyBorder="1" applyAlignment="1" applyProtection="1">
      <alignment horizontal="right" vertical="center"/>
    </xf>
    <xf numFmtId="0" fontId="0" fillId="11" borderId="150" xfId="0" applyFont="1" applyFill="1" applyBorder="1" applyProtection="1"/>
    <xf numFmtId="0" fontId="0" fillId="11" borderId="151" xfId="0" applyFont="1" applyFill="1" applyBorder="1" applyProtection="1"/>
    <xf numFmtId="0" fontId="0" fillId="11" borderId="152" xfId="0" applyFont="1" applyFill="1" applyBorder="1" applyProtection="1"/>
    <xf numFmtId="0" fontId="0" fillId="11" borderId="140" xfId="0" applyFont="1" applyFill="1" applyBorder="1" applyProtection="1"/>
    <xf numFmtId="0" fontId="0" fillId="11" borderId="83" xfId="0" applyFont="1" applyFill="1" applyBorder="1" applyProtection="1"/>
    <xf numFmtId="0" fontId="24" fillId="0" borderId="140" xfId="0" applyFont="1" applyBorder="1" applyAlignment="1" applyProtection="1">
      <alignment vertical="center"/>
    </xf>
    <xf numFmtId="0" fontId="9" fillId="14" borderId="133" xfId="0" applyFont="1" applyFill="1" applyBorder="1" applyAlignment="1" applyProtection="1">
      <alignment horizontal="center" vertical="center"/>
    </xf>
    <xf numFmtId="0" fontId="9" fillId="14" borderId="149" xfId="0" applyFont="1" applyFill="1" applyBorder="1" applyAlignment="1" applyProtection="1">
      <alignment horizontal="center" vertical="center"/>
    </xf>
    <xf numFmtId="0" fontId="9" fillId="47" borderId="133" xfId="0" applyFont="1" applyFill="1" applyBorder="1" applyAlignment="1" applyProtection="1">
      <alignment horizontal="center" vertical="center"/>
    </xf>
    <xf numFmtId="0" fontId="9" fillId="47" borderId="149" xfId="0" applyFont="1" applyFill="1" applyBorder="1" applyAlignment="1" applyProtection="1">
      <alignment horizontal="center" vertical="center"/>
    </xf>
    <xf numFmtId="0" fontId="9" fillId="46" borderId="133" xfId="0" applyFont="1" applyFill="1" applyBorder="1" applyAlignment="1" applyProtection="1">
      <alignment horizontal="center" vertical="center"/>
    </xf>
    <xf numFmtId="0" fontId="9" fillId="46" borderId="149" xfId="0" applyFont="1" applyFill="1" applyBorder="1" applyAlignment="1" applyProtection="1">
      <alignment horizontal="center" vertical="center"/>
    </xf>
    <xf numFmtId="177" fontId="0" fillId="26" borderId="125" xfId="0" applyNumberFormat="1" applyFont="1" applyFill="1" applyBorder="1" applyAlignment="1" applyProtection="1">
      <alignment horizontal="right" vertical="center"/>
    </xf>
    <xf numFmtId="177" fontId="0" fillId="26" borderId="126" xfId="0" applyNumberFormat="1" applyFont="1" applyFill="1" applyBorder="1" applyAlignment="1" applyProtection="1">
      <alignment horizontal="right" vertical="center"/>
    </xf>
    <xf numFmtId="0" fontId="0" fillId="11" borderId="141" xfId="0" applyFont="1" applyFill="1" applyBorder="1" applyProtection="1"/>
    <xf numFmtId="0" fontId="0" fillId="11" borderId="147" xfId="0" applyFont="1" applyFill="1" applyBorder="1" applyProtection="1"/>
    <xf numFmtId="0" fontId="0" fillId="11" borderId="79" xfId="0" applyFont="1" applyFill="1" applyBorder="1" applyProtection="1"/>
    <xf numFmtId="168" fontId="10" fillId="20" borderId="90" xfId="13" applyNumberFormat="1" applyFont="1" applyFill="1" applyBorder="1" applyAlignment="1" applyProtection="1">
      <alignment horizontal="center" vertical="center"/>
      <protection locked="0"/>
    </xf>
    <xf numFmtId="9" fontId="0" fillId="43" borderId="104" xfId="0" applyNumberFormat="1" applyFont="1" applyFill="1" applyBorder="1" applyAlignment="1" applyProtection="1">
      <alignment horizontal="center" vertical="center"/>
    </xf>
    <xf numFmtId="9" fontId="0" fillId="43" borderId="125" xfId="0" applyNumberFormat="1" applyFont="1" applyFill="1" applyBorder="1" applyAlignment="1" applyProtection="1">
      <alignment horizontal="center" vertical="center"/>
    </xf>
    <xf numFmtId="169" fontId="0" fillId="43" borderId="125" xfId="16" applyFont="1" applyFill="1" applyBorder="1" applyAlignment="1" applyProtection="1">
      <alignment horizontal="center" vertical="center"/>
    </xf>
    <xf numFmtId="0" fontId="12" fillId="16" borderId="149" xfId="0" applyFont="1" applyFill="1" applyBorder="1" applyAlignment="1" applyProtection="1">
      <alignment horizontal="center" vertical="center" wrapText="1"/>
    </xf>
    <xf numFmtId="178" fontId="0" fillId="12" borderId="125" xfId="13" applyNumberFormat="1" applyFont="1" applyFill="1" applyBorder="1" applyAlignment="1" applyProtection="1">
      <alignment vertical="center"/>
      <protection locked="0"/>
    </xf>
    <xf numFmtId="177" fontId="0" fillId="29" borderId="126" xfId="0" applyNumberFormat="1" applyFont="1" applyFill="1" applyBorder="1" applyAlignment="1" applyProtection="1">
      <alignment vertical="center"/>
    </xf>
    <xf numFmtId="177" fontId="0" fillId="29" borderId="129" xfId="0" applyNumberFormat="1" applyFont="1" applyFill="1" applyBorder="1" applyAlignment="1" applyProtection="1">
      <alignment vertical="center"/>
    </xf>
    <xf numFmtId="177" fontId="0" fillId="29" borderId="143" xfId="0" applyNumberFormat="1" applyFont="1" applyFill="1" applyBorder="1" applyAlignment="1" applyProtection="1">
      <alignment horizontal="right" vertical="center"/>
    </xf>
    <xf numFmtId="177" fontId="0" fillId="29" borderId="163" xfId="0" applyNumberFormat="1" applyFont="1" applyFill="1" applyBorder="1" applyAlignment="1" applyProtection="1">
      <alignment horizontal="right" vertical="center"/>
    </xf>
    <xf numFmtId="177" fontId="22" fillId="28" borderId="60" xfId="0" applyNumberFormat="1" applyFont="1" applyFill="1" applyBorder="1" applyAlignment="1" applyProtection="1">
      <alignment vertical="center"/>
    </xf>
    <xf numFmtId="168" fontId="0" fillId="12" borderId="126" xfId="13" applyNumberFormat="1" applyFont="1" applyFill="1" applyBorder="1" applyAlignment="1" applyProtection="1">
      <alignment vertical="center"/>
      <protection locked="0"/>
    </xf>
    <xf numFmtId="0" fontId="0" fillId="12" borderId="128" xfId="0" applyFont="1" applyFill="1" applyBorder="1" applyAlignment="1" applyProtection="1">
      <alignment horizontal="left" vertical="center"/>
      <protection locked="0"/>
    </xf>
    <xf numFmtId="168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2" xfId="0" applyFont="1" applyFill="1" applyBorder="1" applyAlignment="1" applyProtection="1">
      <alignment horizontal="left" vertical="center"/>
      <protection locked="0"/>
    </xf>
    <xf numFmtId="168" fontId="0" fillId="12" borderId="131" xfId="13" applyNumberFormat="1" applyFont="1" applyFill="1" applyBorder="1" applyAlignment="1" applyProtection="1">
      <alignment vertical="center"/>
      <protection locked="0"/>
    </xf>
    <xf numFmtId="180" fontId="13" fillId="36" borderId="132" xfId="16" applyNumberFormat="1" applyFill="1" applyBorder="1" applyAlignment="1" applyProtection="1">
      <alignment horizontal="center" vertical="center"/>
    </xf>
    <xf numFmtId="180" fontId="13" fillId="36" borderId="130" xfId="16" applyNumberFormat="1" applyFill="1" applyBorder="1" applyAlignment="1" applyProtection="1">
      <alignment horizontal="center" vertical="center"/>
    </xf>
    <xf numFmtId="180" fontId="13" fillId="36" borderId="131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0" fillId="0" borderId="0" xfId="20" applyFill="1" applyBorder="1" applyAlignment="1" applyProtection="1">
      <alignment vertical="center"/>
    </xf>
    <xf numFmtId="0" fontId="20" fillId="11" borderId="0" xfId="20" applyFill="1" applyBorder="1" applyAlignment="1" applyProtection="1">
      <alignment vertical="center"/>
    </xf>
    <xf numFmtId="0" fontId="20" fillId="0" borderId="0" xfId="20" applyProtection="1"/>
    <xf numFmtId="0" fontId="20" fillId="0" borderId="0" xfId="20" applyBorder="1" applyAlignment="1" applyProtection="1">
      <alignment vertical="center"/>
    </xf>
    <xf numFmtId="0" fontId="20" fillId="0" borderId="0" xfId="20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0" fillId="0" borderId="0" xfId="20" quotePrefix="1" applyBorder="1" applyAlignment="1" applyProtection="1">
      <alignment horizontal="left" vertical="center"/>
    </xf>
    <xf numFmtId="0" fontId="20" fillId="0" borderId="0" xfId="20"/>
    <xf numFmtId="0" fontId="20" fillId="11" borderId="0" xfId="20" applyFill="1" applyBorder="1" applyAlignment="1" applyProtection="1">
      <alignment horizontal="left" vertical="center"/>
    </xf>
    <xf numFmtId="0" fontId="20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indent="2"/>
    </xf>
    <xf numFmtId="168" fontId="0" fillId="12" borderId="127" xfId="13" applyNumberFormat="1" applyFont="1" applyFill="1" applyBorder="1" applyAlignment="1" applyProtection="1">
      <alignment vertical="center"/>
      <protection locked="0"/>
    </xf>
    <xf numFmtId="176" fontId="18" fillId="12" borderId="127" xfId="12" applyNumberFormat="1" applyFont="1" applyFill="1" applyBorder="1" applyAlignment="1" applyProtection="1">
      <alignment vertical="center"/>
      <protection locked="0"/>
    </xf>
    <xf numFmtId="168" fontId="18" fillId="12" borderId="127" xfId="13" applyNumberFormat="1" applyFont="1" applyFill="1" applyBorder="1" applyAlignment="1" applyProtection="1">
      <alignment vertical="center"/>
      <protection locked="0"/>
    </xf>
    <xf numFmtId="0" fontId="12" fillId="17" borderId="127" xfId="0" applyFont="1" applyFill="1" applyBorder="1" applyAlignment="1" applyProtection="1">
      <alignment horizontal="center" vertical="center" wrapText="1"/>
    </xf>
    <xf numFmtId="174" fontId="12" fillId="17" borderId="127" xfId="12" applyNumberFormat="1" applyFont="1" applyFill="1" applyBorder="1" applyAlignment="1" applyProtection="1">
      <alignment horizontal="center" vertical="center" wrapText="1"/>
    </xf>
    <xf numFmtId="0" fontId="10" fillId="17" borderId="127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8" fontId="0" fillId="29" borderId="126" xfId="13" applyNumberFormat="1" applyFont="1" applyFill="1" applyBorder="1" applyAlignment="1" applyProtection="1">
      <alignment vertical="center"/>
    </xf>
    <xf numFmtId="168" fontId="0" fillId="0" borderId="0" xfId="0" applyNumberFormat="1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45" borderId="171" xfId="0" applyFont="1" applyFill="1" applyBorder="1" applyAlignment="1" applyProtection="1">
      <alignment horizontal="left" vertical="center"/>
    </xf>
    <xf numFmtId="179" fontId="0" fillId="12" borderId="171" xfId="13" applyNumberFormat="1" applyFont="1" applyFill="1" applyBorder="1" applyAlignment="1" applyProtection="1">
      <alignment horizontal="center" vertical="center"/>
      <protection locked="0"/>
    </xf>
    <xf numFmtId="179" fontId="12" fillId="29" borderId="172" xfId="0" applyNumberFormat="1" applyFont="1" applyFill="1" applyBorder="1" applyAlignment="1" applyProtection="1">
      <alignment vertical="center"/>
    </xf>
    <xf numFmtId="168" fontId="0" fillId="0" borderId="178" xfId="0" applyNumberFormat="1" applyFont="1" applyFill="1" applyBorder="1" applyAlignment="1" applyProtection="1">
      <alignment vertical="center"/>
    </xf>
    <xf numFmtId="168" fontId="0" fillId="10" borderId="127" xfId="13" applyNumberFormat="1" applyFont="1" applyFill="1" applyBorder="1" applyAlignment="1" applyProtection="1">
      <alignment horizontal="right" vertical="center"/>
    </xf>
    <xf numFmtId="168" fontId="0" fillId="0" borderId="114" xfId="0" applyNumberFormat="1" applyFont="1" applyFill="1" applyBorder="1" applyAlignment="1" applyProtection="1">
      <alignment vertical="center"/>
    </xf>
    <xf numFmtId="168" fontId="0" fillId="10" borderId="125" xfId="13" applyNumberFormat="1" applyFont="1" applyFill="1" applyBorder="1" applyAlignment="1" applyProtection="1">
      <alignment horizontal="right" vertical="center"/>
    </xf>
    <xf numFmtId="168" fontId="12" fillId="39" borderId="181" xfId="0" applyNumberFormat="1" applyFont="1" applyFill="1" applyBorder="1" applyAlignment="1" applyProtection="1">
      <alignment vertical="center"/>
    </xf>
    <xf numFmtId="168" fontId="12" fillId="39" borderId="130" xfId="13" applyNumberFormat="1" applyFont="1" applyFill="1" applyBorder="1" applyAlignment="1" applyProtection="1">
      <alignment vertical="center"/>
    </xf>
    <xf numFmtId="168" fontId="12" fillId="39" borderId="130" xfId="13" applyNumberFormat="1" applyFont="1" applyFill="1" applyBorder="1" applyAlignment="1" applyProtection="1">
      <alignment horizontal="right" vertical="center"/>
    </xf>
    <xf numFmtId="168" fontId="0" fillId="0" borderId="125" xfId="13" applyNumberFormat="1" applyFont="1" applyFill="1" applyBorder="1" applyAlignment="1" applyProtection="1">
      <alignment vertical="center"/>
    </xf>
    <xf numFmtId="168" fontId="12" fillId="39" borderId="132" xfId="13" applyNumberFormat="1" applyFont="1" applyFill="1" applyBorder="1" applyAlignment="1" applyProtection="1">
      <alignment vertical="center"/>
    </xf>
    <xf numFmtId="168" fontId="12" fillId="39" borderId="131" xfId="13" applyNumberFormat="1" applyFont="1" applyFill="1" applyBorder="1" applyAlignment="1" applyProtection="1">
      <alignment vertical="center"/>
    </xf>
    <xf numFmtId="168" fontId="0" fillId="0" borderId="63" xfId="13" applyNumberFormat="1" applyFont="1" applyFill="1" applyBorder="1" applyAlignment="1" applyProtection="1">
      <alignment vertical="center"/>
    </xf>
    <xf numFmtId="168" fontId="13" fillId="43" borderId="68" xfId="13" applyNumberFormat="1" applyFont="1" applyFill="1" applyBorder="1" applyAlignment="1" applyProtection="1">
      <alignment vertical="center"/>
    </xf>
    <xf numFmtId="173" fontId="0" fillId="12" borderId="137" xfId="12" applyNumberFormat="1" applyFont="1" applyFill="1" applyBorder="1" applyAlignment="1" applyProtection="1">
      <alignment vertical="center"/>
      <protection locked="0"/>
    </xf>
    <xf numFmtId="168" fontId="12" fillId="39" borderId="123" xfId="13" applyNumberFormat="1" applyFont="1" applyFill="1" applyBorder="1" applyAlignment="1" applyProtection="1">
      <alignment vertical="center"/>
    </xf>
    <xf numFmtId="168" fontId="12" fillId="39" borderId="157" xfId="13" applyNumberFormat="1" applyFont="1" applyFill="1" applyBorder="1" applyAlignment="1" applyProtection="1">
      <alignment horizontal="right" vertical="center"/>
    </xf>
    <xf numFmtId="0" fontId="12" fillId="15" borderId="167" xfId="0" applyFont="1" applyFill="1" applyBorder="1" applyAlignment="1" applyProtection="1">
      <alignment horizontal="center" vertical="center" wrapText="1"/>
    </xf>
    <xf numFmtId="168" fontId="17" fillId="35" borderId="115" xfId="0" applyNumberFormat="1" applyFont="1" applyFill="1" applyBorder="1" applyAlignment="1" applyProtection="1">
      <alignment horizontal="center" vertical="center" wrapText="1"/>
    </xf>
    <xf numFmtId="168" fontId="17" fillId="35" borderId="191" xfId="0" applyNumberFormat="1" applyFont="1" applyFill="1" applyBorder="1" applyAlignment="1" applyProtection="1">
      <alignment horizontal="center" vertical="center" wrapText="1"/>
    </xf>
    <xf numFmtId="0" fontId="17" fillId="35" borderId="114" xfId="0" applyFont="1" applyFill="1" applyBorder="1" applyAlignment="1" applyProtection="1">
      <alignment horizontal="center" vertical="center" wrapText="1"/>
    </xf>
    <xf numFmtId="0" fontId="17" fillId="25" borderId="192" xfId="0" applyFont="1" applyFill="1" applyBorder="1" applyAlignment="1" applyProtection="1">
      <alignment horizontal="center" vertical="center" wrapText="1"/>
    </xf>
    <xf numFmtId="0" fontId="17" fillId="25" borderId="189" xfId="0" applyFont="1" applyFill="1" applyBorder="1" applyAlignment="1" applyProtection="1">
      <alignment horizontal="center" vertical="center" wrapText="1"/>
    </xf>
    <xf numFmtId="0" fontId="17" fillId="25" borderId="115" xfId="0" applyFont="1" applyFill="1" applyBorder="1" applyAlignment="1" applyProtection="1">
      <alignment horizontal="center" vertical="center" wrapText="1"/>
    </xf>
    <xf numFmtId="0" fontId="12" fillId="15" borderId="118" xfId="0" applyFont="1" applyFill="1" applyBorder="1" applyAlignment="1" applyProtection="1">
      <alignment horizontal="center" vertical="center" wrapText="1"/>
    </xf>
    <xf numFmtId="0" fontId="12" fillId="0" borderId="193" xfId="0" applyFont="1" applyFill="1" applyBorder="1" applyAlignment="1" applyProtection="1">
      <alignment horizontal="left" vertical="center"/>
    </xf>
    <xf numFmtId="168" fontId="0" fillId="29" borderId="173" xfId="13" applyNumberFormat="1" applyFont="1" applyFill="1" applyBorder="1" applyAlignment="1" applyProtection="1">
      <alignment vertical="center"/>
    </xf>
    <xf numFmtId="168" fontId="0" fillId="29" borderId="178" xfId="13" applyNumberFormat="1" applyFont="1" applyFill="1" applyBorder="1" applyAlignment="1" applyProtection="1">
      <alignment vertical="center"/>
    </xf>
    <xf numFmtId="168" fontId="12" fillId="29" borderId="194" xfId="13" applyNumberFormat="1" applyFont="1" applyFill="1" applyBorder="1" applyAlignment="1" applyProtection="1">
      <alignment vertical="center"/>
    </xf>
    <xf numFmtId="168" fontId="0" fillId="19" borderId="195" xfId="13" applyNumberFormat="1" applyFont="1" applyFill="1" applyBorder="1" applyAlignment="1" applyProtection="1">
      <alignment vertical="center"/>
    </xf>
    <xf numFmtId="168" fontId="0" fillId="19" borderId="196" xfId="13" applyNumberFormat="1" applyFont="1" applyFill="1" applyBorder="1" applyAlignment="1" applyProtection="1">
      <alignment vertical="center"/>
    </xf>
    <xf numFmtId="168" fontId="12" fillId="19" borderId="173" xfId="13" applyNumberFormat="1" applyFont="1" applyFill="1" applyBorder="1" applyAlignment="1" applyProtection="1">
      <alignment vertical="center"/>
    </xf>
    <xf numFmtId="168" fontId="12" fillId="0" borderId="197" xfId="13" applyNumberFormat="1" applyFont="1" applyFill="1" applyBorder="1" applyAlignment="1" applyProtection="1">
      <alignment vertical="center"/>
    </xf>
    <xf numFmtId="0" fontId="12" fillId="15" borderId="198" xfId="0" applyFont="1" applyFill="1" applyBorder="1" applyAlignment="1" applyProtection="1">
      <alignment horizontal="center" vertical="center"/>
    </xf>
    <xf numFmtId="168" fontId="21" fillId="15" borderId="199" xfId="13" applyNumberFormat="1" applyFont="1" applyFill="1" applyBorder="1" applyAlignment="1" applyProtection="1">
      <alignment vertical="center"/>
    </xf>
    <xf numFmtId="168" fontId="12" fillId="39" borderId="200" xfId="13" applyNumberFormat="1" applyFont="1" applyFill="1" applyBorder="1" applyAlignment="1" applyProtection="1">
      <alignment horizontal="right" vertical="center"/>
    </xf>
    <xf numFmtId="168" fontId="12" fillId="39" borderId="201" xfId="13" applyNumberFormat="1" applyFont="1" applyFill="1" applyBorder="1" applyAlignment="1" applyProtection="1">
      <alignment vertical="center"/>
    </xf>
    <xf numFmtId="168" fontId="12" fillId="39" borderId="138" xfId="13" applyNumberFormat="1" applyFont="1" applyFill="1" applyBorder="1" applyAlignment="1" applyProtection="1">
      <alignment horizontal="right" vertical="center"/>
    </xf>
    <xf numFmtId="179" fontId="0" fillId="12" borderId="204" xfId="13" applyNumberFormat="1" applyFont="1" applyFill="1" applyBorder="1" applyAlignment="1" applyProtection="1">
      <alignment horizontal="center" vertical="center"/>
      <protection locked="0"/>
    </xf>
    <xf numFmtId="179" fontId="0" fillId="12" borderId="175" xfId="13" applyNumberFormat="1" applyFont="1" applyFill="1" applyBorder="1" applyAlignment="1" applyProtection="1">
      <alignment horizontal="center" vertical="center"/>
      <protection locked="0"/>
    </xf>
    <xf numFmtId="179" fontId="0" fillId="12" borderId="144" xfId="13" applyNumberFormat="1" applyFont="1" applyFill="1" applyBorder="1" applyAlignment="1" applyProtection="1">
      <alignment horizontal="center" vertical="center"/>
      <protection locked="0"/>
    </xf>
    <xf numFmtId="0" fontId="0" fillId="0" borderId="155" xfId="0" applyFont="1" applyFill="1" applyBorder="1" applyAlignment="1" applyProtection="1">
      <alignment horizontal="left" vertical="center"/>
    </xf>
    <xf numFmtId="0" fontId="0" fillId="0" borderId="156" xfId="0" applyFont="1" applyFill="1" applyBorder="1" applyAlignment="1" applyProtection="1">
      <alignment horizontal="left" vertical="center"/>
    </xf>
    <xf numFmtId="0" fontId="0" fillId="0" borderId="157" xfId="0" applyFont="1" applyFill="1" applyBorder="1" applyAlignment="1" applyProtection="1">
      <alignment horizontal="left" vertical="center"/>
    </xf>
    <xf numFmtId="170" fontId="0" fillId="12" borderId="132" xfId="13" applyNumberFormat="1" applyFont="1" applyFill="1" applyBorder="1" applyAlignment="1" applyProtection="1">
      <alignment horizontal="center" vertical="center"/>
      <protection locked="0"/>
    </xf>
    <xf numFmtId="178" fontId="0" fillId="29" borderId="127" xfId="13" applyNumberFormat="1" applyFont="1" applyFill="1" applyBorder="1" applyAlignment="1" applyProtection="1">
      <alignment vertical="center"/>
    </xf>
    <xf numFmtId="178" fontId="0" fillId="29" borderId="125" xfId="13" applyNumberFormat="1" applyFont="1" applyFill="1" applyBorder="1" applyAlignment="1" applyProtection="1">
      <alignment vertical="center"/>
    </xf>
    <xf numFmtId="178" fontId="0" fillId="29" borderId="128" xfId="13" applyNumberFormat="1" applyFont="1" applyFill="1" applyBorder="1" applyAlignment="1" applyProtection="1">
      <alignment vertical="center"/>
    </xf>
    <xf numFmtId="178" fontId="0" fillId="29" borderId="129" xfId="13" applyNumberFormat="1" applyFont="1" applyFill="1" applyBorder="1" applyAlignment="1" applyProtection="1">
      <alignment vertical="center"/>
    </xf>
    <xf numFmtId="167" fontId="0" fillId="0" borderId="134" xfId="13" applyNumberFormat="1" applyFont="1" applyFill="1" applyBorder="1" applyAlignment="1" applyProtection="1">
      <alignment vertical="center"/>
    </xf>
    <xf numFmtId="167" fontId="0" fillId="0" borderId="209" xfId="13" applyNumberFormat="1" applyFont="1" applyFill="1" applyBorder="1" applyAlignment="1" applyProtection="1">
      <alignment vertical="center"/>
    </xf>
    <xf numFmtId="167" fontId="0" fillId="0" borderId="135" xfId="13" applyNumberFormat="1" applyFont="1" applyFill="1" applyBorder="1" applyAlignment="1" applyProtection="1">
      <alignment vertical="center"/>
    </xf>
    <xf numFmtId="168" fontId="0" fillId="29" borderId="127" xfId="13" applyNumberFormat="1" applyFont="1" applyFill="1" applyBorder="1" applyAlignment="1" applyProtection="1">
      <alignment vertical="center"/>
    </xf>
    <xf numFmtId="168" fontId="0" fillId="29" borderId="63" xfId="13" applyNumberFormat="1" applyFont="1" applyFill="1" applyBorder="1" applyAlignment="1" applyProtection="1">
      <alignment vertical="center"/>
    </xf>
    <xf numFmtId="168" fontId="0" fillId="29" borderId="125" xfId="13" applyNumberFormat="1" applyFont="1" applyFill="1" applyBorder="1" applyAlignment="1" applyProtection="1">
      <alignment vertical="center"/>
    </xf>
    <xf numFmtId="168" fontId="0" fillId="29" borderId="126" xfId="13" applyNumberFormat="1" applyFont="1" applyFill="1" applyBorder="1" applyAlignment="1" applyProtection="1">
      <alignment vertical="center"/>
    </xf>
    <xf numFmtId="168" fontId="0" fillId="29" borderId="128" xfId="13" applyNumberFormat="1" applyFont="1" applyFill="1" applyBorder="1" applyAlignment="1" applyProtection="1">
      <alignment vertical="center"/>
    </xf>
    <xf numFmtId="168" fontId="0" fillId="29" borderId="129" xfId="13" applyNumberFormat="1" applyFont="1" applyFill="1" applyBorder="1" applyAlignment="1" applyProtection="1">
      <alignment vertical="center"/>
    </xf>
    <xf numFmtId="168" fontId="0" fillId="29" borderId="132" xfId="13" applyNumberFormat="1" applyFont="1" applyFill="1" applyBorder="1" applyAlignment="1" applyProtection="1">
      <alignment vertical="center"/>
    </xf>
    <xf numFmtId="168" fontId="0" fillId="29" borderId="130" xfId="13" applyNumberFormat="1" applyFont="1" applyFill="1" applyBorder="1" applyAlignment="1" applyProtection="1">
      <alignment vertical="center"/>
    </xf>
    <xf numFmtId="168" fontId="0" fillId="29" borderId="131" xfId="13" applyNumberFormat="1" applyFont="1" applyFill="1" applyBorder="1" applyAlignment="1" applyProtection="1">
      <alignment vertical="center"/>
    </xf>
    <xf numFmtId="168" fontId="0" fillId="29" borderId="68" xfId="13" applyNumberFormat="1" applyFont="1" applyFill="1" applyBorder="1" applyAlignment="1" applyProtection="1">
      <alignment vertical="center"/>
    </xf>
    <xf numFmtId="168" fontId="0" fillId="29" borderId="137" xfId="13" applyNumberFormat="1" applyFont="1" applyFill="1" applyBorder="1" applyAlignment="1" applyProtection="1">
      <alignment vertical="center"/>
    </xf>
    <xf numFmtId="168" fontId="0" fillId="36" borderId="127" xfId="13" applyNumberFormat="1" applyFont="1" applyFill="1" applyBorder="1" applyAlignment="1" applyProtection="1">
      <alignment vertical="center"/>
    </xf>
    <xf numFmtId="168" fontId="0" fillId="36" borderId="63" xfId="13" applyNumberFormat="1" applyFont="1" applyFill="1" applyBorder="1" applyAlignment="1" applyProtection="1">
      <alignment vertical="center"/>
    </xf>
    <xf numFmtId="168" fontId="0" fillId="36" borderId="125" xfId="13" applyNumberFormat="1" applyFont="1" applyFill="1" applyBorder="1" applyAlignment="1" applyProtection="1">
      <alignment vertical="center"/>
    </xf>
    <xf numFmtId="168" fontId="0" fillId="36" borderId="128" xfId="13" applyNumberFormat="1" applyFont="1" applyFill="1" applyBorder="1" applyAlignment="1" applyProtection="1">
      <alignment vertical="center"/>
    </xf>
    <xf numFmtId="168" fontId="0" fillId="36" borderId="132" xfId="13" applyNumberFormat="1" applyFont="1" applyFill="1" applyBorder="1" applyAlignment="1" applyProtection="1">
      <alignment vertical="center"/>
    </xf>
    <xf numFmtId="168" fontId="0" fillId="36" borderId="130" xfId="13" applyNumberFormat="1" applyFont="1" applyFill="1" applyBorder="1" applyAlignment="1" applyProtection="1">
      <alignment vertical="center"/>
    </xf>
    <xf numFmtId="168" fontId="0" fillId="36" borderId="68" xfId="13" applyNumberFormat="1" applyFont="1" applyFill="1" applyBorder="1" applyAlignment="1" applyProtection="1">
      <alignment vertical="center"/>
    </xf>
    <xf numFmtId="168" fontId="0" fillId="36" borderId="137" xfId="13" applyNumberFormat="1" applyFont="1" applyFill="1" applyBorder="1" applyAlignment="1" applyProtection="1">
      <alignment vertical="center"/>
    </xf>
    <xf numFmtId="168" fontId="0" fillId="36" borderId="123" xfId="13" applyNumberFormat="1" applyFont="1" applyFill="1" applyBorder="1" applyAlignment="1" applyProtection="1">
      <alignment vertical="center"/>
    </xf>
    <xf numFmtId="168" fontId="0" fillId="0" borderId="127" xfId="13" applyNumberFormat="1" applyFont="1" applyFill="1" applyBorder="1" applyAlignment="1" applyProtection="1">
      <alignment vertical="center"/>
    </xf>
    <xf numFmtId="168" fontId="0" fillId="0" borderId="128" xfId="13" applyNumberFormat="1" applyFont="1" applyFill="1" applyBorder="1" applyAlignment="1" applyProtection="1">
      <alignment vertical="center"/>
    </xf>
    <xf numFmtId="168" fontId="0" fillId="0" borderId="132" xfId="13" applyNumberFormat="1" applyFont="1" applyFill="1" applyBorder="1" applyAlignment="1" applyProtection="1">
      <alignment vertical="center"/>
    </xf>
    <xf numFmtId="168" fontId="0" fillId="0" borderId="130" xfId="13" applyNumberFormat="1" applyFont="1" applyFill="1" applyBorder="1" applyAlignment="1" applyProtection="1">
      <alignment vertical="center"/>
    </xf>
    <xf numFmtId="168" fontId="0" fillId="0" borderId="68" xfId="13" applyNumberFormat="1" applyFont="1" applyFill="1" applyBorder="1" applyAlignment="1" applyProtection="1">
      <alignment vertical="center"/>
    </xf>
    <xf numFmtId="168" fontId="0" fillId="0" borderId="137" xfId="13" applyNumberFormat="1" applyFont="1" applyFill="1" applyBorder="1" applyAlignment="1" applyProtection="1">
      <alignment vertical="center"/>
    </xf>
    <xf numFmtId="168" fontId="0" fillId="0" borderId="123" xfId="13" applyNumberFormat="1" applyFont="1" applyFill="1" applyBorder="1" applyAlignment="1" applyProtection="1">
      <alignment vertical="center"/>
    </xf>
    <xf numFmtId="170" fontId="0" fillId="0" borderId="127" xfId="0" applyNumberFormat="1" applyFont="1" applyFill="1" applyBorder="1" applyAlignment="1" applyProtection="1">
      <alignment horizontal="center" vertical="center"/>
    </xf>
    <xf numFmtId="170" fontId="0" fillId="0" borderId="63" xfId="0" applyNumberFormat="1" applyFont="1" applyFill="1" applyBorder="1" applyAlignment="1" applyProtection="1">
      <alignment horizontal="center" vertical="center"/>
    </xf>
    <xf numFmtId="170" fontId="0" fillId="0" borderId="125" xfId="0" applyNumberFormat="1" applyFont="1" applyFill="1" applyBorder="1" applyAlignment="1" applyProtection="1">
      <alignment horizontal="center" vertical="center"/>
    </xf>
    <xf numFmtId="170" fontId="0" fillId="0" borderId="126" xfId="0" applyNumberFormat="1" applyFont="1" applyFill="1" applyBorder="1" applyAlignment="1" applyProtection="1">
      <alignment horizontal="center" vertical="center"/>
    </xf>
    <xf numFmtId="170" fontId="0" fillId="0" borderId="128" xfId="0" applyNumberFormat="1" applyFont="1" applyFill="1" applyBorder="1" applyAlignment="1" applyProtection="1">
      <alignment horizontal="center" vertical="center"/>
    </xf>
    <xf numFmtId="170" fontId="0" fillId="0" borderId="129" xfId="0" applyNumberFormat="1" applyFont="1" applyFill="1" applyBorder="1" applyAlignment="1" applyProtection="1">
      <alignment horizontal="center" vertical="center"/>
    </xf>
    <xf numFmtId="170" fontId="0" fillId="0" borderId="132" xfId="0" applyNumberFormat="1" applyFont="1" applyFill="1" applyBorder="1" applyAlignment="1" applyProtection="1">
      <alignment horizontal="center" vertical="center"/>
    </xf>
    <xf numFmtId="170" fontId="0" fillId="0" borderId="130" xfId="0" applyNumberFormat="1" applyFont="1" applyFill="1" applyBorder="1" applyAlignment="1" applyProtection="1">
      <alignment horizontal="center" vertical="center"/>
    </xf>
    <xf numFmtId="170" fontId="0" fillId="0" borderId="131" xfId="0" applyNumberFormat="1" applyFont="1" applyFill="1" applyBorder="1" applyAlignment="1" applyProtection="1">
      <alignment horizontal="center" vertical="center"/>
    </xf>
    <xf numFmtId="168" fontId="12" fillId="34" borderId="210" xfId="0" applyNumberFormat="1" applyFont="1" applyFill="1" applyBorder="1" applyAlignment="1" applyProtection="1">
      <alignment horizontal="center" vertical="center" wrapText="1"/>
    </xf>
    <xf numFmtId="168" fontId="12" fillId="34" borderId="211" xfId="0" applyNumberFormat="1" applyFont="1" applyFill="1" applyBorder="1" applyAlignment="1" applyProtection="1">
      <alignment horizontal="center" vertical="center" wrapText="1"/>
    </xf>
    <xf numFmtId="168" fontId="12" fillId="34" borderId="212" xfId="0" applyNumberFormat="1" applyFont="1" applyFill="1" applyBorder="1" applyAlignment="1" applyProtection="1">
      <alignment horizontal="center" vertical="center" wrapText="1"/>
    </xf>
    <xf numFmtId="168" fontId="12" fillId="15" borderId="213" xfId="0" applyNumberFormat="1" applyFont="1" applyFill="1" applyBorder="1" applyAlignment="1" applyProtection="1">
      <alignment horizontal="center" vertical="center" wrapText="1"/>
    </xf>
    <xf numFmtId="168" fontId="12" fillId="15" borderId="211" xfId="0" applyNumberFormat="1" applyFont="1" applyFill="1" applyBorder="1" applyAlignment="1" applyProtection="1">
      <alignment horizontal="center" vertical="center" wrapText="1"/>
    </xf>
    <xf numFmtId="168" fontId="12" fillId="15" borderId="214" xfId="0" applyNumberFormat="1" applyFont="1" applyFill="1" applyBorder="1" applyAlignment="1" applyProtection="1">
      <alignment horizontal="center" vertical="center" wrapText="1"/>
    </xf>
    <xf numFmtId="0" fontId="12" fillId="15" borderId="210" xfId="0" applyFont="1" applyFill="1" applyBorder="1" applyAlignment="1" applyProtection="1">
      <alignment horizontal="center" vertical="center"/>
    </xf>
    <xf numFmtId="0" fontId="12" fillId="15" borderId="215" xfId="0" applyFont="1" applyFill="1" applyBorder="1" applyAlignment="1" applyProtection="1">
      <alignment horizontal="center" vertical="center"/>
    </xf>
    <xf numFmtId="167" fontId="0" fillId="0" borderId="216" xfId="13" applyNumberFormat="1" applyFont="1" applyFill="1" applyBorder="1" applyAlignment="1" applyProtection="1">
      <alignment vertical="center"/>
    </xf>
    <xf numFmtId="167" fontId="0" fillId="0" borderId="217" xfId="13" applyNumberFormat="1" applyFont="1" applyFill="1" applyBorder="1" applyAlignment="1" applyProtection="1">
      <alignment vertical="center"/>
    </xf>
    <xf numFmtId="167" fontId="0" fillId="0" borderId="218" xfId="13" applyNumberFormat="1" applyFont="1" applyFill="1" applyBorder="1" applyAlignment="1" applyProtection="1">
      <alignment vertical="center"/>
    </xf>
    <xf numFmtId="180" fontId="13" fillId="36" borderId="63" xfId="16" applyNumberFormat="1" applyFill="1" applyBorder="1" applyAlignment="1" applyProtection="1">
      <alignment horizontal="center" vertical="center"/>
    </xf>
    <xf numFmtId="180" fontId="13" fillId="36" borderId="129" xfId="16" applyNumberFormat="1" applyFill="1" applyBorder="1" applyAlignment="1" applyProtection="1">
      <alignment horizontal="center" vertical="center"/>
    </xf>
    <xf numFmtId="168" fontId="0" fillId="29" borderId="155" xfId="13" applyNumberFormat="1" applyFont="1" applyFill="1" applyBorder="1" applyAlignment="1" applyProtection="1">
      <alignment vertical="center"/>
    </xf>
    <xf numFmtId="168" fontId="0" fillId="29" borderId="156" xfId="13" applyNumberFormat="1" applyFont="1" applyFill="1" applyBorder="1" applyAlignment="1" applyProtection="1">
      <alignment vertical="center"/>
    </xf>
    <xf numFmtId="168" fontId="0" fillId="29" borderId="157" xfId="13" applyNumberFormat="1" applyFont="1" applyFill="1" applyBorder="1" applyAlignment="1" applyProtection="1">
      <alignment vertical="center"/>
    </xf>
    <xf numFmtId="168" fontId="13" fillId="0" borderId="68" xfId="13" applyNumberFormat="1" applyFont="1" applyFill="1" applyBorder="1" applyAlignment="1" applyProtection="1">
      <alignment vertical="center"/>
    </xf>
    <xf numFmtId="168" fontId="0" fillId="0" borderId="107" xfId="13" applyNumberFormat="1" applyFont="1" applyFill="1" applyBorder="1" applyAlignment="1" applyProtection="1">
      <alignment vertical="center"/>
    </xf>
    <xf numFmtId="168" fontId="0" fillId="0" borderId="162" xfId="13" applyNumberFormat="1" applyFont="1" applyFill="1" applyBorder="1" applyAlignment="1" applyProtection="1">
      <alignment vertical="center"/>
    </xf>
    <xf numFmtId="168" fontId="21" fillId="31" borderId="205" xfId="13" applyNumberFormat="1" applyFont="1" applyFill="1" applyBorder="1" applyAlignment="1" applyProtection="1">
      <alignment vertical="center" wrapText="1"/>
    </xf>
    <xf numFmtId="168" fontId="21" fillId="31" borderId="171" xfId="13" applyNumberFormat="1" applyFont="1" applyFill="1" applyBorder="1" applyAlignment="1" applyProtection="1">
      <alignment vertical="center" wrapText="1"/>
    </xf>
    <xf numFmtId="168" fontId="21" fillId="31" borderId="172" xfId="13" applyNumberFormat="1" applyFont="1" applyFill="1" applyBorder="1" applyAlignment="1" applyProtection="1">
      <alignment vertical="center" wrapText="1"/>
    </xf>
    <xf numFmtId="168" fontId="21" fillId="31" borderId="220" xfId="13" applyNumberFormat="1" applyFont="1" applyFill="1" applyBorder="1" applyAlignment="1" applyProtection="1">
      <alignment vertical="center" wrapText="1"/>
    </xf>
    <xf numFmtId="168" fontId="21" fillId="31" borderId="221" xfId="13" applyNumberFormat="1" applyFont="1" applyFill="1" applyBorder="1" applyAlignment="1" applyProtection="1">
      <alignment vertical="center" wrapText="1"/>
    </xf>
    <xf numFmtId="168" fontId="21" fillId="31" borderId="206" xfId="13" applyNumberFormat="1" applyFont="1" applyFill="1" applyBorder="1" applyAlignment="1" applyProtection="1">
      <alignment vertical="center" wrapText="1"/>
    </xf>
    <xf numFmtId="168" fontId="21" fillId="31" borderId="153" xfId="13" applyNumberFormat="1" applyFont="1" applyFill="1" applyBorder="1" applyAlignment="1" applyProtection="1">
      <alignment vertical="center" wrapText="1"/>
    </xf>
    <xf numFmtId="177" fontId="22" fillId="26" borderId="86" xfId="0" applyNumberFormat="1" applyFont="1" applyFill="1" applyBorder="1" applyAlignment="1" applyProtection="1">
      <alignment horizontal="right" vertical="center"/>
    </xf>
    <xf numFmtId="9" fontId="0" fillId="12" borderId="133" xfId="0" applyNumberFormat="1" applyFont="1" applyFill="1" applyBorder="1" applyAlignment="1" applyProtection="1">
      <alignment horizontal="center" vertical="center"/>
      <protection locked="0"/>
    </xf>
    <xf numFmtId="177" fontId="0" fillId="0" borderId="201" xfId="0" applyNumberFormat="1" applyFont="1" applyFill="1" applyBorder="1" applyAlignment="1" applyProtection="1">
      <alignment horizontal="right" vertical="center"/>
    </xf>
    <xf numFmtId="177" fontId="0" fillId="0" borderId="149" xfId="0" applyNumberFormat="1" applyFont="1" applyFill="1" applyBorder="1" applyAlignment="1" applyProtection="1">
      <alignment horizontal="right" vertical="center"/>
    </xf>
    <xf numFmtId="169" fontId="0" fillId="12" borderId="222" xfId="16" applyFont="1" applyFill="1" applyBorder="1" applyAlignment="1" applyProtection="1">
      <alignment horizontal="center" vertical="center"/>
      <protection locked="0"/>
    </xf>
    <xf numFmtId="169" fontId="14" fillId="19" borderId="66" xfId="16" applyFont="1" applyFill="1" applyBorder="1" applyAlignment="1" applyProtection="1">
      <alignment horizontal="center" vertical="center"/>
    </xf>
    <xf numFmtId="177" fontId="22" fillId="26" borderId="67" xfId="0" applyNumberFormat="1" applyFont="1" applyFill="1" applyBorder="1" applyAlignment="1" applyProtection="1">
      <alignment horizontal="right" vertical="center"/>
    </xf>
    <xf numFmtId="0" fontId="17" fillId="33" borderId="33" xfId="0" applyFont="1" applyFill="1" applyBorder="1" applyAlignment="1" applyProtection="1">
      <alignment horizontal="center" vertical="center" wrapText="1"/>
    </xf>
    <xf numFmtId="0" fontId="17" fillId="48" borderId="34" xfId="0" applyFont="1" applyFill="1" applyBorder="1" applyAlignment="1" applyProtection="1">
      <alignment vertical="center"/>
    </xf>
    <xf numFmtId="167" fontId="17" fillId="48" borderId="127" xfId="13" applyNumberFormat="1" applyFont="1" applyFill="1" applyBorder="1" applyAlignment="1" applyProtection="1">
      <alignment vertical="center"/>
    </xf>
    <xf numFmtId="0" fontId="10" fillId="23" borderId="178" xfId="0" applyFont="1" applyFill="1" applyBorder="1" applyAlignment="1">
      <alignment horizontal="left" vertical="center"/>
    </xf>
    <xf numFmtId="168" fontId="10" fillId="23" borderId="127" xfId="13" applyNumberFormat="1" applyFont="1" applyFill="1" applyBorder="1" applyAlignment="1">
      <alignment horizontal="center" vertical="center"/>
    </xf>
    <xf numFmtId="168" fontId="12" fillId="40" borderId="127" xfId="13" applyNumberFormat="1" applyFont="1" applyFill="1" applyBorder="1" applyAlignment="1">
      <alignment vertical="center"/>
    </xf>
    <xf numFmtId="168" fontId="10" fillId="23" borderId="196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0" borderId="168" xfId="0" applyFont="1" applyFill="1" applyBorder="1" applyAlignment="1">
      <alignment horizontal="center" vertical="center" wrapText="1"/>
    </xf>
    <xf numFmtId="0" fontId="10" fillId="20" borderId="178" xfId="0" applyFont="1" applyFill="1" applyBorder="1" applyAlignment="1">
      <alignment horizontal="left" vertical="center"/>
    </xf>
    <xf numFmtId="168" fontId="10" fillId="20" borderId="127" xfId="13" applyNumberFormat="1" applyFont="1" applyFill="1" applyBorder="1" applyAlignment="1">
      <alignment horizontal="center" vertical="center"/>
    </xf>
    <xf numFmtId="168" fontId="12" fillId="41" borderId="127" xfId="13" applyNumberFormat="1" applyFont="1" applyFill="1" applyBorder="1" applyAlignment="1">
      <alignment vertical="center"/>
    </xf>
    <xf numFmtId="168" fontId="10" fillId="20" borderId="168" xfId="13" applyNumberFormat="1" applyFont="1" applyFill="1" applyBorder="1" applyAlignment="1">
      <alignment horizontal="center" vertical="center"/>
    </xf>
    <xf numFmtId="1" fontId="0" fillId="0" borderId="168" xfId="0" applyNumberFormat="1" applyBorder="1" applyAlignment="1">
      <alignment horizontal="center" vertical="center" wrapText="1"/>
    </xf>
    <xf numFmtId="175" fontId="18" fillId="0" borderId="178" xfId="0" applyNumberFormat="1" applyFont="1" applyBorder="1" applyAlignment="1">
      <alignment horizontal="left"/>
    </xf>
    <xf numFmtId="168" fontId="0" fillId="45" borderId="127" xfId="13" applyNumberFormat="1" applyFont="1" applyFill="1" applyBorder="1" applyAlignment="1">
      <alignment vertical="center"/>
    </xf>
    <xf numFmtId="168" fontId="18" fillId="29" borderId="127" xfId="13" applyNumberFormat="1" applyFont="1" applyFill="1" applyBorder="1" applyAlignment="1">
      <alignment vertical="center"/>
    </xf>
    <xf numFmtId="168" fontId="10" fillId="28" borderId="196" xfId="13" applyNumberFormat="1" applyFont="1" applyFill="1" applyBorder="1" applyAlignment="1">
      <alignment vertical="center"/>
    </xf>
    <xf numFmtId="1" fontId="0" fillId="0" borderId="170" xfId="0" applyNumberFormat="1" applyBorder="1"/>
    <xf numFmtId="175" fontId="29" fillId="0" borderId="178" xfId="0" applyNumberFormat="1" applyFont="1" applyBorder="1" applyAlignment="1">
      <alignment horizontal="left"/>
    </xf>
    <xf numFmtId="168" fontId="0" fillId="49" borderId="127" xfId="13" applyNumberFormat="1" applyFont="1" applyFill="1" applyBorder="1" applyAlignment="1" applyProtection="1">
      <alignment vertical="center"/>
      <protection locked="0"/>
    </xf>
    <xf numFmtId="168" fontId="10" fillId="23" borderId="168" xfId="13" applyNumberFormat="1" applyFont="1" applyFill="1" applyBorder="1" applyAlignment="1">
      <alignment horizontal="center" vertical="center"/>
    </xf>
    <xf numFmtId="168" fontId="10" fillId="20" borderId="127" xfId="13" applyNumberFormat="1" applyFont="1" applyFill="1" applyBorder="1" applyAlignment="1">
      <alignment vertical="center"/>
    </xf>
    <xf numFmtId="168" fontId="10" fillId="20" borderId="196" xfId="13" applyNumberFormat="1" applyFont="1" applyFill="1" applyBorder="1" applyAlignment="1">
      <alignment vertical="center"/>
    </xf>
    <xf numFmtId="1" fontId="0" fillId="43" borderId="168" xfId="0" applyNumberFormat="1" applyFill="1" applyBorder="1" applyAlignment="1">
      <alignment horizontal="center" vertical="center" wrapText="1"/>
    </xf>
    <xf numFmtId="168" fontId="12" fillId="43" borderId="127" xfId="13" applyNumberFormat="1" applyFont="1" applyFill="1" applyBorder="1" applyAlignment="1">
      <alignment horizontal="center" vertical="center"/>
    </xf>
    <xf numFmtId="168" fontId="0" fillId="28" borderId="127" xfId="13" applyNumberFormat="1" applyFont="1" applyFill="1" applyBorder="1" applyAlignment="1">
      <alignment vertical="center"/>
    </xf>
    <xf numFmtId="167" fontId="12" fillId="31" borderId="223" xfId="13" applyNumberFormat="1" applyFont="1" applyFill="1" applyBorder="1" applyAlignment="1">
      <alignment vertical="center"/>
    </xf>
    <xf numFmtId="175" fontId="18" fillId="0" borderId="225" xfId="0" applyNumberFormat="1" applyFont="1" applyBorder="1" applyAlignment="1">
      <alignment horizontal="left"/>
    </xf>
    <xf numFmtId="168" fontId="10" fillId="28" borderId="226" xfId="13" applyNumberFormat="1" applyFont="1" applyFill="1" applyBorder="1" applyAlignment="1">
      <alignment vertical="center"/>
    </xf>
    <xf numFmtId="0" fontId="12" fillId="31" borderId="224" xfId="0" applyFont="1" applyFill="1" applyBorder="1" applyAlignment="1">
      <alignment vertical="center"/>
    </xf>
    <xf numFmtId="167" fontId="12" fillId="31" borderId="127" xfId="13" applyNumberFormat="1" applyFont="1" applyFill="1" applyBorder="1" applyAlignment="1">
      <alignment vertical="center"/>
    </xf>
    <xf numFmtId="167" fontId="12" fillId="32" borderId="127" xfId="13" applyNumberFormat="1" applyFont="1" applyFill="1" applyBorder="1" applyAlignment="1">
      <alignment vertical="center"/>
    </xf>
    <xf numFmtId="0" fontId="12" fillId="43" borderId="127" xfId="0" applyFont="1" applyFill="1" applyBorder="1" applyAlignment="1">
      <alignment horizontal="center" vertical="center"/>
    </xf>
    <xf numFmtId="181" fontId="13" fillId="28" borderId="127" xfId="13" applyNumberFormat="1" applyFill="1" applyBorder="1"/>
    <xf numFmtId="178" fontId="0" fillId="12" borderId="21" xfId="13" applyNumberFormat="1" applyFont="1" applyFill="1" applyBorder="1" applyAlignment="1" applyProtection="1">
      <alignment vertical="center"/>
      <protection locked="0"/>
    </xf>
    <xf numFmtId="177" fontId="0" fillId="29" borderId="227" xfId="0" applyNumberFormat="1" applyFont="1" applyFill="1" applyBorder="1" applyAlignment="1" applyProtection="1">
      <alignment vertical="center"/>
    </xf>
    <xf numFmtId="177" fontId="0" fillId="29" borderId="17" xfId="0" applyNumberFormat="1" applyFont="1" applyFill="1" applyBorder="1" applyAlignment="1" applyProtection="1">
      <alignment horizontal="right" vertical="center"/>
    </xf>
    <xf numFmtId="177" fontId="0" fillId="29" borderId="30" xfId="0" applyNumberFormat="1" applyFont="1" applyFill="1" applyBorder="1" applyAlignment="1" applyProtection="1">
      <alignment horizontal="right" vertical="center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0" fontId="12" fillId="16" borderId="0" xfId="0" applyFont="1" applyFill="1" applyBorder="1" applyAlignment="1" applyProtection="1">
      <alignment horizontal="center" vertical="center" wrapText="1"/>
    </xf>
    <xf numFmtId="178" fontId="0" fillId="29" borderId="21" xfId="13" applyNumberFormat="1" applyFont="1" applyFill="1" applyBorder="1" applyAlignment="1" applyProtection="1">
      <alignment vertical="center"/>
    </xf>
    <xf numFmtId="178" fontId="0" fillId="29" borderId="54" xfId="13" applyNumberFormat="1" applyFont="1" applyFill="1" applyBorder="1" applyAlignment="1" applyProtection="1">
      <alignment vertical="center"/>
    </xf>
    <xf numFmtId="178" fontId="0" fillId="29" borderId="227" xfId="13" applyNumberFormat="1" applyFont="1" applyFill="1" applyBorder="1" applyAlignment="1" applyProtection="1">
      <alignment vertical="center"/>
    </xf>
    <xf numFmtId="179" fontId="12" fillId="29" borderId="126" xfId="0" applyNumberFormat="1" applyFont="1" applyFill="1" applyBorder="1" applyAlignment="1">
      <alignment vertical="center"/>
    </xf>
    <xf numFmtId="179" fontId="12" fillId="29" borderId="131" xfId="0" applyNumberFormat="1" applyFont="1" applyFill="1" applyBorder="1" applyAlignment="1">
      <alignment vertical="center"/>
    </xf>
    <xf numFmtId="0" fontId="0" fillId="0" borderId="232" xfId="0" applyFont="1" applyFill="1" applyBorder="1" applyAlignment="1" applyProtection="1">
      <alignment horizontal="left" vertical="center"/>
    </xf>
    <xf numFmtId="0" fontId="12" fillId="0" borderId="233" xfId="0" applyFont="1" applyFill="1" applyBorder="1" applyAlignment="1" applyProtection="1">
      <alignment horizontal="left" vertical="center"/>
    </xf>
    <xf numFmtId="168" fontId="0" fillId="10" borderId="240" xfId="13" applyNumberFormat="1" applyFont="1" applyFill="1" applyBorder="1" applyAlignment="1" applyProtection="1">
      <alignment horizontal="right" vertical="center"/>
    </xf>
    <xf numFmtId="0" fontId="12" fillId="21" borderId="251" xfId="0" applyFont="1" applyFill="1" applyBorder="1" applyAlignment="1">
      <alignment horizontal="center" vertical="center"/>
    </xf>
    <xf numFmtId="168" fontId="0" fillId="10" borderId="241" xfId="13" applyNumberFormat="1" applyFont="1" applyFill="1" applyBorder="1" applyAlignment="1" applyProtection="1">
      <alignment horizontal="right" vertical="center"/>
    </xf>
    <xf numFmtId="168" fontId="12" fillId="39" borderId="131" xfId="13" applyNumberFormat="1" applyFont="1" applyFill="1" applyBorder="1" applyAlignment="1" applyProtection="1">
      <alignment horizontal="right" vertical="center"/>
    </xf>
    <xf numFmtId="168" fontId="0" fillId="10" borderId="230" xfId="13" applyNumberFormat="1" applyFont="1" applyFill="1" applyBorder="1" applyAlignment="1" applyProtection="1">
      <alignment horizontal="right" vertical="center"/>
    </xf>
    <xf numFmtId="0" fontId="0" fillId="12" borderId="63" xfId="0" applyFont="1" applyFill="1" applyBorder="1" applyAlignment="1" applyProtection="1">
      <alignment horizontal="left" vertical="center"/>
      <protection locked="0"/>
    </xf>
    <xf numFmtId="1" fontId="0" fillId="0" borderId="25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2" fillId="30" borderId="253" xfId="0" applyFont="1" applyFill="1" applyBorder="1" applyAlignment="1">
      <alignment horizontal="center" vertical="center" wrapText="1"/>
    </xf>
    <xf numFmtId="165" fontId="0" fillId="45" borderId="230" xfId="31" applyFont="1" applyFill="1" applyBorder="1" applyAlignment="1" applyProtection="1">
      <alignment horizontal="center" vertical="center"/>
    </xf>
    <xf numFmtId="175" fontId="18" fillId="0" borderId="17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8" fontId="0" fillId="12" borderId="230" xfId="13" applyNumberFormat="1" applyFont="1" applyFill="1" applyBorder="1" applyAlignment="1" applyProtection="1">
      <alignment vertical="center"/>
      <protection locked="0"/>
    </xf>
    <xf numFmtId="178" fontId="0" fillId="12" borderId="130" xfId="13" applyNumberFormat="1" applyFont="1" applyFill="1" applyBorder="1" applyAlignment="1" applyProtection="1">
      <alignment vertical="center"/>
      <protection locked="0"/>
    </xf>
    <xf numFmtId="168" fontId="0" fillId="29" borderId="132" xfId="13" applyNumberFormat="1" applyFont="1" applyFill="1" applyBorder="1" applyAlignment="1" applyProtection="1">
      <alignment vertical="center"/>
    </xf>
    <xf numFmtId="168" fontId="0" fillId="29" borderId="130" xfId="13" applyNumberFormat="1" applyFont="1" applyFill="1" applyBorder="1" applyAlignment="1" applyProtection="1">
      <alignment vertical="center"/>
    </xf>
    <xf numFmtId="168" fontId="0" fillId="29" borderId="131" xfId="13" applyNumberFormat="1" applyFont="1" applyFill="1" applyBorder="1" applyAlignment="1" applyProtection="1">
      <alignment vertical="center"/>
    </xf>
    <xf numFmtId="168" fontId="0" fillId="29" borderId="123" xfId="13" applyNumberFormat="1" applyFont="1" applyFill="1" applyBorder="1" applyAlignment="1" applyProtection="1">
      <alignment vertical="center"/>
    </xf>
    <xf numFmtId="180" fontId="13" fillId="36" borderId="132" xfId="16" applyNumberFormat="1" applyFill="1" applyBorder="1" applyAlignment="1" applyProtection="1">
      <alignment horizontal="center" vertical="center"/>
    </xf>
    <xf numFmtId="180" fontId="13" fillId="36" borderId="130" xfId="16" applyNumberFormat="1" applyFill="1" applyBorder="1" applyAlignment="1" applyProtection="1">
      <alignment horizontal="center" vertical="center"/>
    </xf>
    <xf numFmtId="0" fontId="0" fillId="12" borderId="245" xfId="0" applyFont="1" applyFill="1" applyBorder="1" applyAlignment="1" applyProtection="1">
      <alignment horizontal="left" vertical="center"/>
      <protection locked="0"/>
    </xf>
    <xf numFmtId="177" fontId="0" fillId="29" borderId="231" xfId="0" applyNumberFormat="1" applyFont="1" applyFill="1" applyBorder="1" applyAlignment="1" applyProtection="1">
      <alignment vertical="center"/>
    </xf>
    <xf numFmtId="177" fontId="0" fillId="29" borderId="131" xfId="0" applyNumberFormat="1" applyFont="1" applyFill="1" applyBorder="1" applyAlignment="1" applyProtection="1">
      <alignment vertical="center"/>
    </xf>
    <xf numFmtId="177" fontId="0" fillId="29" borderId="164" xfId="0" applyNumberFormat="1" applyFont="1" applyFill="1" applyBorder="1" applyAlignment="1" applyProtection="1">
      <alignment horizontal="right" vertical="center"/>
    </xf>
    <xf numFmtId="0" fontId="0" fillId="12" borderId="132" xfId="0" applyFont="1" applyFill="1" applyBorder="1" applyAlignment="1" applyProtection="1">
      <alignment horizontal="left" vertical="center"/>
      <protection locked="0"/>
    </xf>
    <xf numFmtId="168" fontId="0" fillId="12" borderId="131" xfId="13" applyNumberFormat="1" applyFont="1" applyFill="1" applyBorder="1" applyAlignment="1" applyProtection="1">
      <alignment vertical="center"/>
      <protection locked="0"/>
    </xf>
    <xf numFmtId="180" fontId="13" fillId="36" borderId="131" xfId="16" applyNumberFormat="1" applyFill="1" applyBorder="1" applyAlignment="1" applyProtection="1">
      <alignment horizontal="center" vertical="center"/>
    </xf>
    <xf numFmtId="168" fontId="0" fillId="53" borderId="63" xfId="13" applyNumberFormat="1" applyFont="1" applyFill="1" applyBorder="1" applyAlignment="1" applyProtection="1">
      <alignment vertical="center"/>
    </xf>
    <xf numFmtId="168" fontId="0" fillId="53" borderId="125" xfId="13" applyNumberFormat="1" applyFont="1" applyFill="1" applyBorder="1" applyAlignment="1" applyProtection="1">
      <alignment vertical="center"/>
    </xf>
    <xf numFmtId="168" fontId="0" fillId="53" borderId="68" xfId="13" applyNumberFormat="1" applyFont="1" applyFill="1" applyBorder="1" applyAlignment="1" applyProtection="1">
      <alignment vertical="center"/>
    </xf>
    <xf numFmtId="168" fontId="0" fillId="1" borderId="63" xfId="13" applyNumberFormat="1" applyFont="1" applyFill="1" applyBorder="1" applyAlignment="1" applyProtection="1">
      <alignment vertical="center"/>
    </xf>
    <xf numFmtId="168" fontId="0" fillId="1" borderId="125" xfId="13" applyNumberFormat="1" applyFont="1" applyFill="1" applyBorder="1" applyAlignment="1" applyProtection="1">
      <alignment vertical="center"/>
    </xf>
    <xf numFmtId="168" fontId="0" fillId="1" borderId="68" xfId="13" applyNumberFormat="1" applyFont="1" applyFill="1" applyBorder="1" applyAlignment="1" applyProtection="1">
      <alignment vertical="center"/>
    </xf>
    <xf numFmtId="170" fontId="0" fillId="1" borderId="63" xfId="0" applyNumberFormat="1" applyFont="1" applyFill="1" applyBorder="1" applyAlignment="1" applyProtection="1">
      <alignment horizontal="center" vertical="center"/>
    </xf>
    <xf numFmtId="170" fontId="0" fillId="1" borderId="125" xfId="0" applyNumberFormat="1" applyFont="1" applyFill="1" applyBorder="1" applyAlignment="1" applyProtection="1">
      <alignment horizontal="center" vertical="center"/>
    </xf>
    <xf numFmtId="170" fontId="0" fillId="1" borderId="126" xfId="0" applyNumberFormat="1" applyFont="1" applyFill="1" applyBorder="1" applyAlignment="1" applyProtection="1">
      <alignment horizontal="center" vertical="center"/>
    </xf>
    <xf numFmtId="168" fontId="0" fillId="53" borderId="128" xfId="13" applyNumberFormat="1" applyFont="1" applyFill="1" applyBorder="1" applyAlignment="1" applyProtection="1">
      <alignment vertical="center"/>
    </xf>
    <xf numFmtId="168" fontId="0" fillId="53" borderId="127" xfId="13" applyNumberFormat="1" applyFont="1" applyFill="1" applyBorder="1" applyAlignment="1" applyProtection="1">
      <alignment vertical="center"/>
    </xf>
    <xf numFmtId="168" fontId="0" fillId="53" borderId="137" xfId="13" applyNumberFormat="1" applyFont="1" applyFill="1" applyBorder="1" applyAlignment="1" applyProtection="1">
      <alignment vertical="center"/>
    </xf>
    <xf numFmtId="168" fontId="0" fillId="1" borderId="128" xfId="13" applyNumberFormat="1" applyFont="1" applyFill="1" applyBorder="1" applyAlignment="1" applyProtection="1">
      <alignment vertical="center"/>
    </xf>
    <xf numFmtId="168" fontId="0" fillId="1" borderId="127" xfId="13" applyNumberFormat="1" applyFont="1" applyFill="1" applyBorder="1" applyAlignment="1" applyProtection="1">
      <alignment vertical="center"/>
    </xf>
    <xf numFmtId="168" fontId="0" fillId="1" borderId="137" xfId="13" applyNumberFormat="1" applyFont="1" applyFill="1" applyBorder="1" applyAlignment="1" applyProtection="1">
      <alignment vertical="center"/>
    </xf>
    <xf numFmtId="170" fontId="0" fillId="1" borderId="128" xfId="0" applyNumberFormat="1" applyFont="1" applyFill="1" applyBorder="1" applyAlignment="1" applyProtection="1">
      <alignment horizontal="center" vertical="center"/>
    </xf>
    <xf numFmtId="170" fontId="0" fillId="1" borderId="127" xfId="0" applyNumberFormat="1" applyFont="1" applyFill="1" applyBorder="1" applyAlignment="1" applyProtection="1">
      <alignment horizontal="center" vertical="center"/>
    </xf>
    <xf numFmtId="170" fontId="0" fillId="1" borderId="129" xfId="0" applyNumberFormat="1" applyFont="1" applyFill="1" applyBorder="1" applyAlignment="1" applyProtection="1">
      <alignment horizontal="center" vertical="center"/>
    </xf>
    <xf numFmtId="168" fontId="0" fillId="53" borderId="132" xfId="13" applyNumberFormat="1" applyFont="1" applyFill="1" applyBorder="1" applyAlignment="1" applyProtection="1">
      <alignment vertical="center"/>
    </xf>
    <xf numFmtId="168" fontId="0" fillId="53" borderId="130" xfId="13" applyNumberFormat="1" applyFont="1" applyFill="1" applyBorder="1" applyAlignment="1" applyProtection="1">
      <alignment vertical="center"/>
    </xf>
    <xf numFmtId="168" fontId="0" fillId="53" borderId="123" xfId="13" applyNumberFormat="1" applyFont="1" applyFill="1" applyBorder="1" applyAlignment="1" applyProtection="1">
      <alignment vertical="center"/>
    </xf>
    <xf numFmtId="168" fontId="0" fillId="1" borderId="132" xfId="13" applyNumberFormat="1" applyFont="1" applyFill="1" applyBorder="1" applyAlignment="1" applyProtection="1">
      <alignment vertical="center"/>
    </xf>
    <xf numFmtId="168" fontId="0" fillId="1" borderId="130" xfId="13" applyNumberFormat="1" applyFont="1" applyFill="1" applyBorder="1" applyAlignment="1" applyProtection="1">
      <alignment vertical="center"/>
    </xf>
    <xf numFmtId="168" fontId="0" fillId="1" borderId="123" xfId="13" applyNumberFormat="1" applyFont="1" applyFill="1" applyBorder="1" applyAlignment="1" applyProtection="1">
      <alignment vertical="center"/>
    </xf>
    <xf numFmtId="170" fontId="0" fillId="1" borderId="132" xfId="0" applyNumberFormat="1" applyFont="1" applyFill="1" applyBorder="1" applyAlignment="1" applyProtection="1">
      <alignment horizontal="center" vertical="center"/>
    </xf>
    <xf numFmtId="170" fontId="0" fillId="1" borderId="130" xfId="0" applyNumberFormat="1" applyFont="1" applyFill="1" applyBorder="1" applyAlignment="1" applyProtection="1">
      <alignment horizontal="center" vertical="center"/>
    </xf>
    <xf numFmtId="170" fontId="0" fillId="1" borderId="131" xfId="0" applyNumberFormat="1" applyFont="1" applyFill="1" applyBorder="1" applyAlignment="1" applyProtection="1">
      <alignment horizontal="center" vertical="center"/>
    </xf>
    <xf numFmtId="178" fontId="0" fillId="12" borderId="238" xfId="13" applyNumberFormat="1" applyFont="1" applyFill="1" applyBorder="1" applyAlignment="1" applyProtection="1">
      <alignment vertical="center"/>
      <protection locked="0"/>
    </xf>
    <xf numFmtId="168" fontId="13" fillId="0" borderId="244" xfId="13" applyNumberFormat="1" applyFont="1" applyFill="1" applyBorder="1" applyAlignment="1" applyProtection="1">
      <alignment vertical="center"/>
    </xf>
    <xf numFmtId="178" fontId="0" fillId="45" borderId="245" xfId="13" applyNumberFormat="1" applyFont="1" applyFill="1" applyBorder="1" applyAlignment="1">
      <alignment vertical="center"/>
    </xf>
    <xf numFmtId="178" fontId="0" fillId="45" borderId="68" xfId="13" applyNumberFormat="1" applyFont="1" applyFill="1" applyBorder="1" applyAlignment="1">
      <alignment vertical="center"/>
    </xf>
    <xf numFmtId="178" fontId="0" fillId="45" borderId="171" xfId="13" applyNumberFormat="1" applyFont="1" applyFill="1" applyBorder="1" applyAlignment="1">
      <alignment vertical="center"/>
    </xf>
    <xf numFmtId="178" fontId="0" fillId="45" borderId="174" xfId="13" applyNumberFormat="1" applyFont="1" applyFill="1" applyBorder="1" applyAlignment="1">
      <alignment vertical="center"/>
    </xf>
    <xf numFmtId="178" fontId="0" fillId="45" borderId="256" xfId="13" applyNumberFormat="1" applyFont="1" applyFill="1" applyBorder="1" applyAlignment="1">
      <alignment vertical="center"/>
    </xf>
    <xf numFmtId="178" fontId="0" fillId="45" borderId="257" xfId="13" applyNumberFormat="1" applyFont="1" applyFill="1" applyBorder="1" applyAlignment="1">
      <alignment vertical="center"/>
    </xf>
    <xf numFmtId="168" fontId="13" fillId="1" borderId="245" xfId="13" applyNumberFormat="1" applyFont="1" applyFill="1" applyBorder="1" applyAlignment="1" applyProtection="1">
      <alignment vertical="center"/>
    </xf>
    <xf numFmtId="168" fontId="13" fillId="0" borderId="245" xfId="13" applyNumberFormat="1" applyFont="1" applyFill="1" applyBorder="1" applyAlignment="1" applyProtection="1">
      <alignment vertical="center"/>
    </xf>
    <xf numFmtId="168" fontId="13" fillId="0" borderId="246" xfId="13" applyNumberFormat="1" applyFont="1" applyFill="1" applyBorder="1" applyAlignment="1" applyProtection="1">
      <alignment vertical="center"/>
    </xf>
    <xf numFmtId="168" fontId="0" fillId="0" borderId="261" xfId="0" applyNumberFormat="1" applyFont="1" applyFill="1" applyBorder="1" applyAlignment="1" applyProtection="1">
      <alignment vertical="center"/>
    </xf>
    <xf numFmtId="168" fontId="13" fillId="1" borderId="260" xfId="13" applyNumberFormat="1" applyFont="1" applyFill="1" applyBorder="1" applyAlignment="1" applyProtection="1">
      <alignment vertical="center"/>
    </xf>
    <xf numFmtId="173" fontId="0" fillId="0" borderId="260" xfId="12" applyNumberFormat="1" applyFont="1" applyFill="1" applyBorder="1" applyAlignment="1" applyProtection="1">
      <alignment vertical="center"/>
    </xf>
    <xf numFmtId="173" fontId="0" fillId="0" borderId="262" xfId="12" applyNumberFormat="1" applyFont="1" applyFill="1" applyBorder="1" applyAlignment="1" applyProtection="1">
      <alignment vertical="center"/>
    </xf>
    <xf numFmtId="168" fontId="12" fillId="39" borderId="263" xfId="0" applyNumberFormat="1" applyFont="1" applyFill="1" applyBorder="1" applyAlignment="1" applyProtection="1">
      <alignment vertical="center"/>
    </xf>
    <xf numFmtId="168" fontId="12" fillId="39" borderId="264" xfId="13" applyNumberFormat="1" applyFont="1" applyFill="1" applyBorder="1" applyAlignment="1" applyProtection="1">
      <alignment vertical="center"/>
    </xf>
    <xf numFmtId="173" fontId="0" fillId="0" borderId="265" xfId="12" applyNumberFormat="1" applyFont="1" applyFill="1" applyBorder="1" applyAlignment="1" applyProtection="1">
      <alignment vertical="center"/>
    </xf>
    <xf numFmtId="0" fontId="0" fillId="45" borderId="245" xfId="0" applyFont="1" applyFill="1" applyBorder="1" applyAlignment="1" applyProtection="1">
      <alignment horizontal="left" vertical="center"/>
    </xf>
    <xf numFmtId="168" fontId="13" fillId="1" borderId="246" xfId="13" applyNumberFormat="1" applyFont="1" applyFill="1" applyBorder="1" applyAlignment="1" applyProtection="1">
      <alignment vertical="center"/>
    </xf>
    <xf numFmtId="168" fontId="13" fillId="1" borderId="262" xfId="13" applyNumberFormat="1" applyFont="1" applyFill="1" applyBorder="1" applyAlignment="1" applyProtection="1">
      <alignment vertical="center"/>
    </xf>
    <xf numFmtId="0" fontId="0" fillId="45" borderId="264" xfId="0" applyFont="1" applyFill="1" applyBorder="1" applyAlignment="1" applyProtection="1">
      <alignment horizontal="left" vertical="center"/>
    </xf>
    <xf numFmtId="168" fontId="13" fillId="1" borderId="264" xfId="13" applyNumberFormat="1" applyFont="1" applyFill="1" applyBorder="1" applyAlignment="1" applyProtection="1">
      <alignment vertical="center"/>
    </xf>
    <xf numFmtId="168" fontId="13" fillId="1" borderId="131" xfId="13" applyNumberFormat="1" applyFont="1" applyFill="1" applyBorder="1" applyAlignment="1" applyProtection="1">
      <alignment vertical="center"/>
    </xf>
    <xf numFmtId="168" fontId="10" fillId="57" borderId="127" xfId="13" applyNumberFormat="1" applyFont="1" applyFill="1" applyBorder="1" applyAlignment="1">
      <alignment vertical="center"/>
    </xf>
    <xf numFmtId="176" fontId="13" fillId="12" borderId="260" xfId="12" applyNumberFormat="1" applyFill="1" applyBorder="1"/>
    <xf numFmtId="176" fontId="13" fillId="49" borderId="260" xfId="12" applyNumberFormat="1" applyFill="1" applyBorder="1"/>
    <xf numFmtId="168" fontId="10" fillId="29" borderId="127" xfId="13" applyNumberFormat="1" applyFont="1" applyFill="1" applyBorder="1" applyAlignment="1">
      <alignment vertical="center"/>
    </xf>
    <xf numFmtId="176" fontId="13" fillId="29" borderId="260" xfId="12" applyNumberFormat="1" applyFill="1" applyBorder="1"/>
    <xf numFmtId="176" fontId="18" fillId="29" borderId="127" xfId="12" applyNumberFormat="1" applyFont="1" applyFill="1" applyBorder="1" applyAlignment="1">
      <alignment vertical="center"/>
    </xf>
    <xf numFmtId="168" fontId="18" fillId="59" borderId="127" xfId="13" applyNumberFormat="1" applyFont="1" applyFill="1" applyBorder="1" applyAlignment="1">
      <alignment vertical="center"/>
    </xf>
    <xf numFmtId="176" fontId="13" fillId="59" borderId="260" xfId="12" applyNumberFormat="1" applyFill="1" applyBorder="1"/>
    <xf numFmtId="176" fontId="13" fillId="59" borderId="260" xfId="12" applyNumberFormat="1" applyFont="1" applyFill="1" applyBorder="1"/>
    <xf numFmtId="168" fontId="18" fillId="60" borderId="127" xfId="13" applyNumberFormat="1" applyFont="1" applyFill="1" applyBorder="1" applyAlignment="1">
      <alignment vertical="center"/>
    </xf>
    <xf numFmtId="181" fontId="12" fillId="19" borderId="260" xfId="13" applyNumberFormat="1" applyFont="1" applyFill="1" applyBorder="1" applyAlignment="1" applyProtection="1">
      <alignment horizontal="center"/>
    </xf>
    <xf numFmtId="168" fontId="10" fillId="40" borderId="127" xfId="13" applyNumberFormat="1" applyFont="1" applyFill="1" applyBorder="1" applyAlignment="1" applyProtection="1">
      <alignment vertical="center"/>
    </xf>
    <xf numFmtId="0" fontId="10" fillId="20" borderId="258" xfId="0" applyFont="1" applyFill="1" applyBorder="1" applyAlignment="1" applyProtection="1">
      <alignment horizontal="left" vertical="center"/>
    </xf>
    <xf numFmtId="181" fontId="12" fillId="19" borderId="260" xfId="13" applyNumberFormat="1" applyFont="1" applyFill="1" applyBorder="1" applyAlignment="1" applyProtection="1">
      <alignment horizontal="center"/>
      <protection locked="0"/>
    </xf>
    <xf numFmtId="181" fontId="13" fillId="12" borderId="260" xfId="13" applyNumberFormat="1" applyFill="1" applyBorder="1" applyProtection="1">
      <protection locked="0"/>
    </xf>
    <xf numFmtId="181" fontId="13" fillId="12" borderId="0" xfId="13" applyNumberFormat="1" applyFill="1" applyProtection="1">
      <protection locked="0"/>
    </xf>
    <xf numFmtId="168" fontId="10" fillId="61" borderId="127" xfId="13" applyNumberFormat="1" applyFont="1" applyFill="1" applyBorder="1" applyAlignment="1">
      <alignment vertical="center"/>
    </xf>
    <xf numFmtId="168" fontId="10" fillId="62" borderId="127" xfId="13" applyNumberFormat="1" applyFont="1" applyFill="1" applyBorder="1" applyAlignment="1">
      <alignment vertical="center"/>
    </xf>
    <xf numFmtId="176" fontId="13" fillId="29" borderId="260" xfId="12" applyNumberFormat="1" applyFont="1" applyFill="1" applyBorder="1"/>
    <xf numFmtId="178" fontId="0" fillId="12" borderId="240" xfId="13" applyNumberFormat="1" applyFont="1" applyFill="1" applyBorder="1" applyAlignment="1" applyProtection="1">
      <alignment vertical="center"/>
      <protection locked="0"/>
    </xf>
    <xf numFmtId="178" fontId="0" fillId="12" borderId="268" xfId="13" applyNumberFormat="1" applyFont="1" applyFill="1" applyBorder="1" applyAlignment="1" applyProtection="1">
      <alignment vertical="center"/>
      <protection locked="0"/>
    </xf>
    <xf numFmtId="178" fontId="0" fillId="12" borderId="269" xfId="13" applyNumberFormat="1" applyFont="1" applyFill="1" applyBorder="1" applyAlignment="1" applyProtection="1">
      <alignment vertical="center"/>
      <protection locked="0"/>
    </xf>
    <xf numFmtId="178" fontId="0" fillId="12" borderId="266" xfId="13" applyNumberFormat="1" applyFont="1" applyFill="1" applyBorder="1" applyAlignment="1" applyProtection="1">
      <alignment vertical="center"/>
      <protection locked="0"/>
    </xf>
    <xf numFmtId="0" fontId="0" fillId="12" borderId="244" xfId="0" applyFont="1" applyFill="1" applyBorder="1" applyAlignment="1" applyProtection="1">
      <alignment horizontal="left" vertical="center"/>
      <protection locked="0"/>
    </xf>
    <xf numFmtId="0" fontId="0" fillId="12" borderId="246" xfId="0" applyFont="1" applyFill="1" applyBorder="1" applyAlignment="1" applyProtection="1">
      <alignment horizontal="left" vertical="center"/>
      <protection locked="0"/>
    </xf>
    <xf numFmtId="0" fontId="0" fillId="12" borderId="265" xfId="0" applyFont="1" applyFill="1" applyBorder="1" applyAlignment="1" applyProtection="1">
      <alignment horizontal="left" vertical="center"/>
      <protection locked="0"/>
    </xf>
    <xf numFmtId="0" fontId="0" fillId="12" borderId="260" xfId="0" applyFont="1" applyFill="1" applyBorder="1" applyAlignment="1" applyProtection="1">
      <alignment horizontal="left" vertical="center"/>
      <protection locked="0"/>
    </xf>
    <xf numFmtId="0" fontId="0" fillId="12" borderId="262" xfId="0" applyFont="1" applyFill="1" applyBorder="1" applyAlignment="1" applyProtection="1">
      <alignment horizontal="left" vertical="center"/>
      <protection locked="0"/>
    </xf>
    <xf numFmtId="0" fontId="0" fillId="12" borderId="264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0" fillId="12" borderId="238" xfId="0" applyFont="1" applyFill="1" applyBorder="1" applyAlignment="1" applyProtection="1">
      <alignment horizontal="left" vertical="center"/>
      <protection locked="0"/>
    </xf>
    <xf numFmtId="0" fontId="0" fillId="12" borderId="162" xfId="0" applyFont="1" applyFill="1" applyBorder="1" applyAlignment="1" applyProtection="1">
      <alignment horizontal="left" vertical="center"/>
      <protection locked="0"/>
    </xf>
    <xf numFmtId="168" fontId="0" fillId="10" borderId="268" xfId="13" applyNumberFormat="1" applyFont="1" applyFill="1" applyBorder="1" applyAlignment="1" applyProtection="1">
      <alignment horizontal="right" vertical="center"/>
    </xf>
    <xf numFmtId="168" fontId="12" fillId="39" borderId="266" xfId="13" applyNumberFormat="1" applyFont="1" applyFill="1" applyBorder="1" applyAlignment="1" applyProtection="1">
      <alignment horizontal="right" vertical="center"/>
    </xf>
    <xf numFmtId="168" fontId="12" fillId="39" borderId="269" xfId="13" applyNumberFormat="1" applyFont="1" applyFill="1" applyBorder="1" applyAlignment="1" applyProtection="1">
      <alignment horizontal="right" vertical="center"/>
    </xf>
    <xf numFmtId="168" fontId="21" fillId="31" borderId="270" xfId="13" applyNumberFormat="1" applyFont="1" applyFill="1" applyBorder="1" applyAlignment="1" applyProtection="1">
      <alignment vertical="center" wrapText="1"/>
    </xf>
    <xf numFmtId="168" fontId="21" fillId="31" borderId="175" xfId="13" applyNumberFormat="1" applyFont="1" applyFill="1" applyBorder="1" applyAlignment="1" applyProtection="1">
      <alignment vertical="center" wrapText="1"/>
    </xf>
    <xf numFmtId="168" fontId="21" fillId="31" borderId="271" xfId="13" applyNumberFormat="1" applyFont="1" applyFill="1" applyBorder="1" applyAlignment="1" applyProtection="1">
      <alignment vertical="center" wrapText="1"/>
    </xf>
    <xf numFmtId="168" fontId="12" fillId="34" borderId="272" xfId="0" applyNumberFormat="1" applyFont="1" applyFill="1" applyBorder="1" applyAlignment="1" applyProtection="1">
      <alignment horizontal="center" vertical="center" wrapText="1"/>
    </xf>
    <xf numFmtId="168" fontId="12" fillId="34" borderId="273" xfId="0" applyNumberFormat="1" applyFont="1" applyFill="1" applyBorder="1" applyAlignment="1" applyProtection="1">
      <alignment horizontal="center" vertical="center" wrapText="1"/>
    </xf>
    <xf numFmtId="168" fontId="12" fillId="34" borderId="274" xfId="0" applyNumberFormat="1" applyFont="1" applyFill="1" applyBorder="1" applyAlignment="1" applyProtection="1">
      <alignment horizontal="center" vertical="center" wrapText="1"/>
    </xf>
    <xf numFmtId="168" fontId="12" fillId="39" borderId="275" xfId="13" applyNumberFormat="1" applyFont="1" applyFill="1" applyBorder="1" applyAlignment="1" applyProtection="1">
      <alignment vertical="center"/>
    </xf>
    <xf numFmtId="168" fontId="12" fillId="39" borderId="267" xfId="13" applyNumberFormat="1" applyFont="1" applyFill="1" applyBorder="1" applyAlignment="1" applyProtection="1">
      <alignment vertical="center"/>
    </xf>
    <xf numFmtId="168" fontId="12" fillId="39" borderId="276" xfId="13" applyNumberFormat="1" applyFont="1" applyFill="1" applyBorder="1" applyAlignment="1" applyProtection="1">
      <alignment vertical="center"/>
    </xf>
    <xf numFmtId="168" fontId="0" fillId="0" borderId="238" xfId="13" applyNumberFormat="1" applyFont="1" applyFill="1" applyBorder="1" applyAlignment="1" applyProtection="1">
      <alignment vertical="center"/>
    </xf>
    <xf numFmtId="168" fontId="0" fillId="0" borderId="244" xfId="13" applyNumberFormat="1" applyFont="1" applyFill="1" applyBorder="1" applyAlignment="1" applyProtection="1">
      <alignment vertical="center"/>
    </xf>
    <xf numFmtId="168" fontId="21" fillId="31" borderId="136" xfId="13" applyNumberFormat="1" applyFont="1" applyFill="1" applyBorder="1" applyAlignment="1" applyProtection="1">
      <alignment vertical="center" wrapText="1"/>
    </xf>
    <xf numFmtId="168" fontId="21" fillId="31" borderId="86" xfId="13" applyNumberFormat="1" applyFont="1" applyFill="1" applyBorder="1" applyAlignment="1" applyProtection="1">
      <alignment vertical="center" wrapText="1"/>
    </xf>
    <xf numFmtId="168" fontId="13" fillId="1" borderId="244" xfId="13" applyNumberFormat="1" applyFont="1" applyFill="1" applyBorder="1" applyAlignment="1" applyProtection="1">
      <alignment vertical="center"/>
    </xf>
    <xf numFmtId="168" fontId="13" fillId="1" borderId="265" xfId="13" applyNumberFormat="1" applyFont="1" applyFill="1" applyBorder="1" applyAlignment="1" applyProtection="1">
      <alignment vertical="center"/>
    </xf>
    <xf numFmtId="173" fontId="0" fillId="0" borderId="277" xfId="12" applyNumberFormat="1" applyFont="1" applyFill="1" applyBorder="1" applyAlignment="1" applyProtection="1">
      <alignment vertical="center"/>
    </xf>
    <xf numFmtId="168" fontId="12" fillId="39" borderId="278" xfId="13" applyNumberFormat="1" applyFont="1" applyFill="1" applyBorder="1" applyAlignment="1" applyProtection="1">
      <alignment vertical="center"/>
    </xf>
    <xf numFmtId="168" fontId="13" fillId="1" borderId="277" xfId="13" applyNumberFormat="1" applyFont="1" applyFill="1" applyBorder="1" applyAlignment="1" applyProtection="1">
      <alignment vertical="center"/>
    </xf>
    <xf numFmtId="168" fontId="0" fillId="0" borderId="245" xfId="13" applyNumberFormat="1" applyFont="1" applyFill="1" applyBorder="1" applyAlignment="1" applyProtection="1">
      <alignment vertical="center"/>
    </xf>
    <xf numFmtId="168" fontId="0" fillId="0" borderId="246" xfId="13" applyNumberFormat="1" applyFont="1" applyFill="1" applyBorder="1" applyAlignment="1" applyProtection="1">
      <alignment vertical="center"/>
    </xf>
    <xf numFmtId="0" fontId="12" fillId="63" borderId="251" xfId="0" applyFont="1" applyFill="1" applyBorder="1" applyAlignment="1" applyProtection="1">
      <alignment horizontal="center" vertical="center"/>
    </xf>
    <xf numFmtId="0" fontId="10" fillId="64" borderId="178" xfId="0" applyFont="1" applyFill="1" applyBorder="1" applyAlignment="1" applyProtection="1">
      <alignment horizontal="left" vertical="center"/>
    </xf>
    <xf numFmtId="168" fontId="10" fillId="64" borderId="127" xfId="13" applyNumberFormat="1" applyFont="1" applyFill="1" applyBorder="1" applyAlignment="1" applyProtection="1">
      <alignment horizontal="center" vertical="center"/>
    </xf>
    <xf numFmtId="168" fontId="10" fillId="24" borderId="127" xfId="13" applyNumberFormat="1" applyFont="1" applyFill="1" applyBorder="1" applyAlignment="1" applyProtection="1">
      <alignment vertical="center"/>
    </xf>
    <xf numFmtId="168" fontId="12" fillId="24" borderId="127" xfId="13" applyNumberFormat="1" applyFont="1" applyFill="1" applyBorder="1" applyAlignment="1" applyProtection="1">
      <alignment vertical="center"/>
    </xf>
    <xf numFmtId="168" fontId="10" fillId="64" borderId="196" xfId="13" applyNumberFormat="1" applyFont="1" applyFill="1" applyBorder="1" applyAlignment="1" applyProtection="1">
      <alignment horizontal="center" vertical="center"/>
    </xf>
    <xf numFmtId="0" fontId="12" fillId="65" borderId="168" xfId="0" applyFont="1" applyFill="1" applyBorder="1" applyAlignment="1" applyProtection="1">
      <alignment horizontal="center" vertical="center" wrapText="1"/>
    </xf>
    <xf numFmtId="0" fontId="10" fillId="65" borderId="178" xfId="0" applyFont="1" applyFill="1" applyBorder="1" applyAlignment="1" applyProtection="1">
      <alignment horizontal="left" vertical="center"/>
    </xf>
    <xf numFmtId="168" fontId="10" fillId="65" borderId="127" xfId="13" applyNumberFormat="1" applyFont="1" applyFill="1" applyBorder="1" applyAlignment="1" applyProtection="1">
      <alignment horizontal="center" vertical="center"/>
    </xf>
    <xf numFmtId="168" fontId="10" fillId="22" borderId="127" xfId="13" applyNumberFormat="1" applyFont="1" applyFill="1" applyBorder="1" applyAlignment="1" applyProtection="1">
      <alignment vertical="center"/>
    </xf>
    <xf numFmtId="168" fontId="12" fillId="22" borderId="127" xfId="13" applyNumberFormat="1" applyFont="1" applyFill="1" applyBorder="1" applyAlignment="1" applyProtection="1">
      <alignment vertical="center"/>
    </xf>
    <xf numFmtId="168" fontId="10" fillId="65" borderId="168" xfId="13" applyNumberFormat="1" applyFont="1" applyFill="1" applyBorder="1" applyAlignment="1" applyProtection="1">
      <alignment horizontal="center" vertical="center"/>
    </xf>
    <xf numFmtId="1" fontId="0" fillId="1" borderId="168" xfId="0" applyNumberFormat="1" applyFill="1" applyBorder="1" applyAlignment="1" applyProtection="1">
      <alignment horizontal="center" vertical="center" wrapText="1"/>
    </xf>
    <xf numFmtId="175" fontId="18" fillId="1" borderId="178" xfId="0" applyNumberFormat="1" applyFont="1" applyFill="1" applyBorder="1" applyAlignment="1" applyProtection="1">
      <alignment horizontal="left"/>
    </xf>
    <xf numFmtId="168" fontId="0" fillId="66" borderId="127" xfId="13" applyNumberFormat="1" applyFont="1" applyFill="1" applyBorder="1" applyAlignment="1" applyProtection="1">
      <alignment vertical="center"/>
    </xf>
    <xf numFmtId="168" fontId="18" fillId="1" borderId="127" xfId="13" applyNumberFormat="1" applyFont="1" applyFill="1" applyBorder="1" applyAlignment="1" applyProtection="1">
      <alignment vertical="center"/>
    </xf>
    <xf numFmtId="176" fontId="18" fillId="1" borderId="127" xfId="12" applyNumberFormat="1" applyFont="1" applyFill="1" applyBorder="1" applyAlignment="1" applyProtection="1">
      <alignment vertical="center"/>
    </xf>
    <xf numFmtId="168" fontId="18" fillId="58" borderId="127" xfId="13" applyNumberFormat="1" applyFont="1" applyFill="1" applyBorder="1" applyAlignment="1" applyProtection="1">
      <alignment vertical="center"/>
    </xf>
    <xf numFmtId="168" fontId="10" fillId="67" borderId="196" xfId="13" applyNumberFormat="1" applyFont="1" applyFill="1" applyBorder="1" applyAlignment="1" applyProtection="1">
      <alignment vertical="center"/>
    </xf>
    <xf numFmtId="168" fontId="0" fillId="68" borderId="127" xfId="13" applyNumberFormat="1" applyFont="1" applyFill="1" applyBorder="1" applyAlignment="1" applyProtection="1">
      <alignment vertical="center"/>
    </xf>
    <xf numFmtId="168" fontId="18" fillId="68" borderId="127" xfId="13" applyNumberFormat="1" applyFont="1" applyFill="1" applyBorder="1" applyAlignment="1" applyProtection="1">
      <alignment vertical="center"/>
    </xf>
    <xf numFmtId="176" fontId="18" fillId="68" borderId="127" xfId="12" applyNumberFormat="1" applyFont="1" applyFill="1" applyBorder="1" applyAlignment="1" applyProtection="1">
      <alignment vertical="center"/>
    </xf>
    <xf numFmtId="1" fontId="0" fillId="1" borderId="252" xfId="0" applyNumberFormat="1" applyFill="1" applyBorder="1" applyAlignment="1" applyProtection="1">
      <alignment horizontal="center"/>
    </xf>
    <xf numFmtId="1" fontId="0" fillId="1" borderId="170" xfId="0" applyNumberFormat="1" applyFill="1" applyBorder="1" applyProtection="1"/>
    <xf numFmtId="175" fontId="29" fillId="1" borderId="178" xfId="0" applyNumberFormat="1" applyFont="1" applyFill="1" applyBorder="1" applyAlignment="1" applyProtection="1">
      <alignment horizontal="left"/>
    </xf>
    <xf numFmtId="168" fontId="0" fillId="52" borderId="127" xfId="13" applyNumberFormat="1" applyFont="1" applyFill="1" applyBorder="1" applyAlignment="1" applyProtection="1">
      <alignment vertical="center"/>
    </xf>
    <xf numFmtId="168" fontId="18" fillId="52" borderId="127" xfId="13" applyNumberFormat="1" applyFont="1" applyFill="1" applyBorder="1" applyAlignment="1" applyProtection="1">
      <alignment vertical="center"/>
    </xf>
    <xf numFmtId="176" fontId="18" fillId="52" borderId="127" xfId="12" applyNumberFormat="1" applyFont="1" applyFill="1" applyBorder="1" applyAlignment="1" applyProtection="1">
      <alignment vertical="center"/>
    </xf>
    <xf numFmtId="168" fontId="10" fillId="64" borderId="168" xfId="13" applyNumberFormat="1" applyFont="1" applyFill="1" applyBorder="1" applyAlignment="1" applyProtection="1">
      <alignment horizontal="center" vertical="center"/>
    </xf>
    <xf numFmtId="168" fontId="10" fillId="65" borderId="127" xfId="13" applyNumberFormat="1" applyFont="1" applyFill="1" applyBorder="1" applyAlignment="1" applyProtection="1">
      <alignment vertical="center"/>
    </xf>
    <xf numFmtId="168" fontId="10" fillId="65" borderId="196" xfId="13" applyNumberFormat="1" applyFont="1" applyFill="1" applyBorder="1" applyAlignment="1" applyProtection="1">
      <alignment vertical="center"/>
    </xf>
    <xf numFmtId="1" fontId="0" fillId="69" borderId="168" xfId="0" applyNumberFormat="1" applyFill="1" applyBorder="1" applyAlignment="1" applyProtection="1">
      <alignment horizontal="center" vertical="center" wrapText="1"/>
    </xf>
    <xf numFmtId="168" fontId="10" fillId="51" borderId="127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5" fontId="18" fillId="1" borderId="225" xfId="0" applyNumberFormat="1" applyFont="1" applyFill="1" applyBorder="1" applyAlignment="1" applyProtection="1">
      <alignment horizontal="left"/>
    </xf>
    <xf numFmtId="168" fontId="10" fillId="67" borderId="226" xfId="13" applyNumberFormat="1" applyFont="1" applyFill="1" applyBorder="1" applyAlignment="1" applyProtection="1">
      <alignment vertical="center"/>
    </xf>
    <xf numFmtId="0" fontId="12" fillId="70" borderId="253" xfId="0" applyFont="1" applyFill="1" applyBorder="1" applyAlignment="1" applyProtection="1">
      <alignment horizontal="center" vertical="center" wrapText="1"/>
    </xf>
    <xf numFmtId="0" fontId="12" fillId="71" borderId="224" xfId="0" applyFont="1" applyFill="1" applyBorder="1" applyAlignment="1" applyProtection="1">
      <alignment vertical="center"/>
    </xf>
    <xf numFmtId="167" fontId="12" fillId="71" borderId="127" xfId="13" applyNumberFormat="1" applyFont="1" applyFill="1" applyBorder="1" applyAlignment="1" applyProtection="1">
      <alignment vertical="center"/>
    </xf>
    <xf numFmtId="167" fontId="12" fillId="32" borderId="127" xfId="13" applyNumberFormat="1" applyFont="1" applyFill="1" applyBorder="1" applyAlignment="1" applyProtection="1">
      <alignment vertical="center"/>
    </xf>
    <xf numFmtId="167" fontId="12" fillId="71" borderId="223" xfId="13" applyNumberFormat="1" applyFont="1" applyFill="1" applyBorder="1" applyAlignment="1" applyProtection="1">
      <alignment vertical="center"/>
    </xf>
    <xf numFmtId="168" fontId="12" fillId="69" borderId="127" xfId="13" applyNumberFormat="1" applyFont="1" applyFill="1" applyBorder="1" applyAlignment="1">
      <alignment horizontal="center" vertical="center"/>
    </xf>
    <xf numFmtId="168" fontId="0" fillId="67" borderId="127" xfId="13" applyNumberFormat="1" applyFont="1" applyFill="1" applyBorder="1" applyAlignment="1">
      <alignment vertical="center"/>
    </xf>
    <xf numFmtId="0" fontId="12" fillId="69" borderId="127" xfId="0" applyFont="1" applyFill="1" applyBorder="1" applyAlignment="1">
      <alignment horizontal="center" vertical="center"/>
    </xf>
    <xf numFmtId="181" fontId="13" fillId="67" borderId="127" xfId="13" applyNumberFormat="1" applyFill="1" applyBorder="1"/>
    <xf numFmtId="0" fontId="0" fillId="12" borderId="238" xfId="0" applyFont="1" applyFill="1" applyBorder="1" applyProtection="1">
      <protection locked="0"/>
    </xf>
    <xf numFmtId="0" fontId="0" fillId="12" borderId="139" xfId="0" applyFont="1" applyFill="1" applyBorder="1" applyProtection="1">
      <protection locked="0"/>
    </xf>
    <xf numFmtId="178" fontId="0" fillId="12" borderId="139" xfId="13" applyNumberFormat="1" applyFont="1" applyFill="1" applyBorder="1" applyAlignment="1" applyProtection="1">
      <alignment vertical="center"/>
      <protection locked="0"/>
    </xf>
    <xf numFmtId="177" fontId="0" fillId="29" borderId="279" xfId="0" applyNumberFormat="1" applyFont="1" applyFill="1" applyBorder="1" applyAlignment="1" applyProtection="1">
      <alignment horizontal="right" vertical="center"/>
    </xf>
    <xf numFmtId="0" fontId="12" fillId="16" borderId="264" xfId="0" applyFont="1" applyFill="1" applyBorder="1" applyAlignment="1" applyProtection="1">
      <alignment horizontal="center" vertical="center" wrapText="1"/>
    </xf>
    <xf numFmtId="0" fontId="12" fillId="16" borderId="278" xfId="0" applyFont="1" applyFill="1" applyBorder="1" applyAlignment="1" applyProtection="1">
      <alignment horizontal="center" vertical="center" wrapText="1"/>
    </xf>
    <xf numFmtId="0" fontId="12" fillId="16" borderId="131" xfId="0" applyFont="1" applyFill="1" applyBorder="1" applyAlignment="1" applyProtection="1">
      <alignment horizontal="center" vertical="center" wrapText="1"/>
    </xf>
    <xf numFmtId="177" fontId="21" fillId="28" borderId="86" xfId="0" applyNumberFormat="1" applyFont="1" applyFill="1" applyBorder="1" applyAlignment="1" applyProtection="1">
      <alignment horizontal="center" vertical="center"/>
    </xf>
    <xf numFmtId="168" fontId="13" fillId="58" borderId="230" xfId="13" applyNumberFormat="1" applyFont="1" applyFill="1" applyBorder="1" applyAlignment="1" applyProtection="1">
      <alignment vertical="center"/>
    </xf>
    <xf numFmtId="0" fontId="0" fillId="68" borderId="244" xfId="0" applyFont="1" applyFill="1" applyBorder="1" applyAlignment="1" applyProtection="1">
      <alignment horizontal="left" vertical="center"/>
    </xf>
    <xf numFmtId="0" fontId="0" fillId="68" borderId="245" xfId="0" applyFont="1" applyFill="1" applyBorder="1" applyAlignment="1" applyProtection="1">
      <alignment horizontal="left" vertical="center"/>
    </xf>
    <xf numFmtId="0" fontId="0" fillId="68" borderId="246" xfId="0" applyFont="1" applyFill="1" applyBorder="1" applyAlignment="1" applyProtection="1">
      <alignment horizontal="left" vertical="center"/>
    </xf>
    <xf numFmtId="178" fontId="0" fillId="68" borderId="240" xfId="13" applyNumberFormat="1" applyFont="1" applyFill="1" applyBorder="1" applyAlignment="1" applyProtection="1">
      <alignment vertical="center"/>
    </xf>
    <xf numFmtId="178" fontId="0" fillId="68" borderId="245" xfId="13" applyNumberFormat="1" applyFont="1" applyFill="1" applyBorder="1" applyAlignment="1" applyProtection="1">
      <alignment vertical="center"/>
    </xf>
    <xf numFmtId="177" fontId="0" fillId="58" borderId="246" xfId="0" applyNumberFormat="1" applyFont="1" applyFill="1" applyBorder="1" applyAlignment="1" applyProtection="1">
      <alignment vertical="center"/>
    </xf>
    <xf numFmtId="177" fontId="0" fillId="58" borderId="248" xfId="0" applyNumberFormat="1" applyFont="1" applyFill="1" applyBorder="1" applyAlignment="1" applyProtection="1">
      <alignment horizontal="right" vertical="center"/>
    </xf>
    <xf numFmtId="0" fontId="0" fillId="68" borderId="265" xfId="0" applyFont="1" applyFill="1" applyBorder="1" applyAlignment="1" applyProtection="1">
      <alignment horizontal="left" vertical="center"/>
    </xf>
    <xf numFmtId="0" fontId="0" fillId="68" borderId="260" xfId="0" applyFont="1" applyFill="1" applyBorder="1" applyAlignment="1" applyProtection="1">
      <alignment horizontal="left" vertical="center"/>
    </xf>
    <xf numFmtId="0" fontId="0" fillId="68" borderId="262" xfId="0" applyFont="1" applyFill="1" applyBorder="1" applyAlignment="1" applyProtection="1">
      <alignment horizontal="left" vertical="center"/>
    </xf>
    <xf numFmtId="178" fontId="0" fillId="68" borderId="268" xfId="13" applyNumberFormat="1" applyFont="1" applyFill="1" applyBorder="1" applyAlignment="1" applyProtection="1">
      <alignment vertical="center"/>
    </xf>
    <xf numFmtId="178" fontId="0" fillId="68" borderId="230" xfId="13" applyNumberFormat="1" applyFont="1" applyFill="1" applyBorder="1" applyAlignment="1" applyProtection="1">
      <alignment vertical="center"/>
    </xf>
    <xf numFmtId="177" fontId="0" fillId="58" borderId="231" xfId="0" applyNumberFormat="1" applyFont="1" applyFill="1" applyBorder="1" applyAlignment="1" applyProtection="1">
      <alignment vertical="center"/>
    </xf>
    <xf numFmtId="177" fontId="0" fillId="58" borderId="254" xfId="0" applyNumberFormat="1" applyFont="1" applyFill="1" applyBorder="1" applyAlignment="1" applyProtection="1">
      <alignment horizontal="right" vertical="center"/>
    </xf>
    <xf numFmtId="0" fontId="0" fillId="68" borderId="132" xfId="0" applyFont="1" applyFill="1" applyBorder="1" applyAlignment="1" applyProtection="1">
      <alignment horizontal="left" vertical="center"/>
    </xf>
    <xf numFmtId="0" fontId="0" fillId="68" borderId="264" xfId="0" applyFont="1" applyFill="1" applyBorder="1" applyAlignment="1" applyProtection="1">
      <alignment horizontal="left" vertical="center"/>
    </xf>
    <xf numFmtId="0" fontId="0" fillId="68" borderId="131" xfId="0" applyFont="1" applyFill="1" applyBorder="1" applyAlignment="1" applyProtection="1">
      <alignment horizontal="left" vertical="center"/>
    </xf>
    <xf numFmtId="178" fontId="0" fillId="68" borderId="266" xfId="13" applyNumberFormat="1" applyFont="1" applyFill="1" applyBorder="1" applyAlignment="1" applyProtection="1">
      <alignment vertical="center"/>
    </xf>
    <xf numFmtId="178" fontId="0" fillId="68" borderId="130" xfId="13" applyNumberFormat="1" applyFont="1" applyFill="1" applyBorder="1" applyAlignment="1" applyProtection="1">
      <alignment vertical="center"/>
    </xf>
    <xf numFmtId="177" fontId="0" fillId="58" borderId="131" xfId="0" applyNumberFormat="1" applyFont="1" applyFill="1" applyBorder="1" applyAlignment="1" applyProtection="1">
      <alignment vertical="center"/>
    </xf>
    <xf numFmtId="177" fontId="0" fillId="58" borderId="164" xfId="0" applyNumberFormat="1" applyFont="1" applyFill="1" applyBorder="1" applyAlignment="1" applyProtection="1">
      <alignment horizontal="right" vertical="center"/>
    </xf>
    <xf numFmtId="0" fontId="0" fillId="1" borderId="156" xfId="0" applyFont="1" applyFill="1" applyBorder="1" applyAlignment="1" applyProtection="1">
      <alignment horizontal="left" vertical="center"/>
    </xf>
    <xf numFmtId="179" fontId="0" fillId="68" borderId="175" xfId="13" applyNumberFormat="1" applyFont="1" applyFill="1" applyBorder="1" applyAlignment="1" applyProtection="1">
      <alignment horizontal="center" vertical="center"/>
    </xf>
    <xf numFmtId="179" fontId="0" fillId="68" borderId="7" xfId="13" applyNumberFormat="1" applyFont="1" applyFill="1" applyBorder="1" applyAlignment="1" applyProtection="1">
      <alignment horizontal="center" vertical="center"/>
    </xf>
    <xf numFmtId="179" fontId="12" fillId="58" borderId="172" xfId="0" applyNumberFormat="1" applyFont="1" applyFill="1" applyBorder="1" applyAlignment="1" applyProtection="1">
      <alignment vertical="center"/>
    </xf>
    <xf numFmtId="168" fontId="12" fillId="34" borderId="282" xfId="0" applyNumberFormat="1" applyFont="1" applyFill="1" applyBorder="1" applyAlignment="1" applyProtection="1">
      <alignment horizontal="center" vertical="center" wrapText="1"/>
    </xf>
    <xf numFmtId="168" fontId="13" fillId="1" borderId="68" xfId="13" applyNumberFormat="1" applyFont="1" applyFill="1" applyBorder="1" applyAlignment="1" applyProtection="1">
      <alignment vertical="center"/>
    </xf>
    <xf numFmtId="168" fontId="13" fillId="1" borderId="228" xfId="13" applyNumberFormat="1" applyFont="1" applyFill="1" applyBorder="1" applyAlignment="1" applyProtection="1">
      <alignment vertical="center"/>
    </xf>
    <xf numFmtId="168" fontId="13" fillId="1" borderId="257" xfId="13" applyNumberFormat="1" applyFont="1" applyFill="1" applyBorder="1" applyAlignment="1" applyProtection="1">
      <alignment vertical="center"/>
    </xf>
    <xf numFmtId="168" fontId="12" fillId="15" borderId="283" xfId="0" applyNumberFormat="1" applyFont="1" applyFill="1" applyBorder="1" applyAlignment="1" applyProtection="1">
      <alignment horizontal="center" vertical="center" wrapText="1"/>
    </xf>
    <xf numFmtId="168" fontId="12" fillId="15" borderId="267" xfId="0" applyNumberFormat="1" applyFont="1" applyFill="1" applyBorder="1" applyAlignment="1" applyProtection="1">
      <alignment horizontal="center" vertical="center" wrapText="1"/>
    </xf>
    <xf numFmtId="168" fontId="12" fillId="15" borderId="284" xfId="0" applyNumberFormat="1" applyFont="1" applyFill="1" applyBorder="1" applyAlignment="1" applyProtection="1">
      <alignment horizontal="center" vertical="center" wrapText="1"/>
    </xf>
    <xf numFmtId="168" fontId="12" fillId="15" borderId="274" xfId="0" applyNumberFormat="1" applyFont="1" applyFill="1" applyBorder="1" applyAlignment="1" applyProtection="1">
      <alignment horizontal="center" vertical="center" wrapText="1"/>
    </xf>
    <xf numFmtId="170" fontId="0" fillId="12" borderId="244" xfId="13" applyNumberFormat="1" applyFont="1" applyFill="1" applyBorder="1" applyAlignment="1" applyProtection="1">
      <alignment horizontal="center" vertical="center"/>
      <protection locked="0"/>
    </xf>
    <xf numFmtId="170" fontId="0" fillId="45" borderId="245" xfId="13" applyNumberFormat="1" applyFont="1" applyFill="1" applyBorder="1" applyAlignment="1" applyProtection="1">
      <alignment horizontal="center" vertical="center"/>
    </xf>
    <xf numFmtId="170" fontId="0" fillId="45" borderId="246" xfId="13" applyNumberFormat="1" applyFont="1" applyFill="1" applyBorder="1" applyAlignment="1" applyProtection="1">
      <alignment horizontal="center" vertical="center"/>
    </xf>
    <xf numFmtId="170" fontId="0" fillId="12" borderId="265" xfId="13" applyNumberFormat="1" applyFont="1" applyFill="1" applyBorder="1" applyAlignment="1" applyProtection="1">
      <alignment horizontal="center" vertical="center"/>
      <protection locked="0"/>
    </xf>
    <xf numFmtId="170" fontId="0" fillId="45" borderId="260" xfId="13" applyNumberFormat="1" applyFont="1" applyFill="1" applyBorder="1" applyAlignment="1" applyProtection="1">
      <alignment horizontal="center" vertical="center"/>
    </xf>
    <xf numFmtId="170" fontId="0" fillId="45" borderId="262" xfId="13" applyNumberFormat="1" applyFont="1" applyFill="1" applyBorder="1" applyAlignment="1" applyProtection="1">
      <alignment horizontal="center" vertical="center"/>
    </xf>
    <xf numFmtId="170" fontId="0" fillId="45" borderId="264" xfId="13" applyNumberFormat="1" applyFont="1" applyFill="1" applyBorder="1" applyAlignment="1" applyProtection="1">
      <alignment horizontal="center" vertical="center"/>
    </xf>
    <xf numFmtId="170" fontId="0" fillId="45" borderId="131" xfId="13" applyNumberFormat="1" applyFont="1" applyFill="1" applyBorder="1" applyAlignment="1" applyProtection="1">
      <alignment horizontal="center" vertical="center"/>
    </xf>
    <xf numFmtId="168" fontId="13" fillId="1" borderId="132" xfId="13" applyNumberFormat="1" applyFont="1" applyFill="1" applyBorder="1" applyAlignment="1" applyProtection="1">
      <alignment vertical="center"/>
    </xf>
    <xf numFmtId="168" fontId="0" fillId="72" borderId="128" xfId="13" applyNumberFormat="1" applyFont="1" applyFill="1" applyBorder="1" applyAlignment="1" applyProtection="1">
      <alignment vertical="center"/>
    </xf>
    <xf numFmtId="168" fontId="0" fillId="72" borderId="127" xfId="13" applyNumberFormat="1" applyFont="1" applyFill="1" applyBorder="1" applyAlignment="1" applyProtection="1">
      <alignment vertical="center"/>
    </xf>
    <xf numFmtId="168" fontId="0" fillId="72" borderId="137" xfId="13" applyNumberFormat="1" applyFont="1" applyFill="1" applyBorder="1" applyAlignment="1" applyProtection="1">
      <alignment vertical="center"/>
    </xf>
    <xf numFmtId="0" fontId="10" fillId="20" borderId="260" xfId="0" applyFont="1" applyFill="1" applyBorder="1" applyAlignment="1" applyProtection="1">
      <alignment horizontal="left" vertical="center"/>
    </xf>
    <xf numFmtId="0" fontId="10" fillId="20" borderId="260" xfId="0" applyFont="1" applyFill="1" applyBorder="1" applyAlignment="1" applyProtection="1">
      <alignment horizontal="left" vertical="center"/>
      <protection locked="0"/>
    </xf>
    <xf numFmtId="0" fontId="10" fillId="20" borderId="169" xfId="0" applyFont="1" applyFill="1" applyBorder="1" applyAlignment="1">
      <alignment horizontal="left" vertical="center"/>
    </xf>
    <xf numFmtId="181" fontId="12" fillId="19" borderId="180" xfId="13" applyNumberFormat="1" applyFont="1" applyFill="1" applyBorder="1" applyAlignment="1" applyProtection="1">
      <alignment horizontal="center"/>
      <protection locked="0"/>
    </xf>
    <xf numFmtId="181" fontId="12" fillId="19" borderId="180" xfId="13" applyNumberFormat="1" applyFont="1" applyFill="1" applyBorder="1" applyAlignment="1" applyProtection="1">
      <alignment horizontal="center"/>
    </xf>
    <xf numFmtId="0" fontId="12" fillId="21" borderId="260" xfId="0" applyFont="1" applyFill="1" applyBorder="1" applyAlignment="1">
      <alignment horizontal="left" vertical="center"/>
    </xf>
    <xf numFmtId="0" fontId="10" fillId="23" borderId="260" xfId="0" applyFont="1" applyFill="1" applyBorder="1" applyAlignment="1">
      <alignment horizontal="left" vertical="center"/>
    </xf>
    <xf numFmtId="173" fontId="0" fillId="1" borderId="260" xfId="12" applyNumberFormat="1" applyFont="1" applyFill="1" applyBorder="1" applyAlignment="1" applyProtection="1">
      <alignment vertical="center"/>
    </xf>
    <xf numFmtId="173" fontId="0" fillId="1" borderId="277" xfId="12" applyNumberFormat="1" applyFont="1" applyFill="1" applyBorder="1" applyAlignment="1" applyProtection="1">
      <alignment vertical="center"/>
    </xf>
    <xf numFmtId="173" fontId="0" fillId="1" borderId="265" xfId="12" applyNumberFormat="1" applyFont="1" applyFill="1" applyBorder="1" applyAlignment="1" applyProtection="1">
      <alignment vertical="center"/>
    </xf>
    <xf numFmtId="173" fontId="0" fillId="1" borderId="262" xfId="12" applyNumberFormat="1" applyFont="1" applyFill="1" applyBorder="1" applyAlignment="1" applyProtection="1">
      <alignment vertical="center"/>
    </xf>
    <xf numFmtId="176" fontId="13" fillId="12" borderId="260" xfId="12" applyNumberFormat="1" applyFill="1" applyBorder="1" applyProtection="1">
      <protection locked="0"/>
    </xf>
    <xf numFmtId="0" fontId="36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60" xfId="0" applyBorder="1" applyProtection="1">
      <protection locked="0"/>
    </xf>
    <xf numFmtId="165" fontId="0" fillId="0" borderId="260" xfId="31" applyFont="1" applyBorder="1" applyProtection="1">
      <protection locked="0"/>
    </xf>
    <xf numFmtId="165" fontId="0" fillId="0" borderId="260" xfId="0" applyNumberFormat="1" applyBorder="1" applyProtection="1">
      <protection locked="0"/>
    </xf>
    <xf numFmtId="164" fontId="0" fillId="0" borderId="260" xfId="0" applyNumberFormat="1" applyBorder="1" applyProtection="1">
      <protection locked="0"/>
    </xf>
    <xf numFmtId="165" fontId="0" fillId="0" borderId="238" xfId="31" applyFont="1" applyBorder="1" applyProtection="1">
      <protection locked="0"/>
    </xf>
    <xf numFmtId="165" fontId="0" fillId="0" borderId="238" xfId="0" applyNumberFormat="1" applyBorder="1" applyProtection="1">
      <protection locked="0"/>
    </xf>
    <xf numFmtId="175" fontId="18" fillId="0" borderId="260" xfId="0" applyNumberFormat="1" applyFont="1" applyBorder="1" applyAlignment="1">
      <alignment horizontal="left" wrapText="1"/>
    </xf>
    <xf numFmtId="175" fontId="18" fillId="0" borderId="260" xfId="0" applyNumberFormat="1" applyFont="1" applyBorder="1" applyAlignment="1">
      <alignment horizontal="left"/>
    </xf>
    <xf numFmtId="165" fontId="0" fillId="49" borderId="260" xfId="31" applyFont="1" applyFill="1" applyBorder="1" applyAlignment="1" applyProtection="1">
      <alignment horizontal="center" vertical="center"/>
      <protection locked="0"/>
    </xf>
    <xf numFmtId="164" fontId="0" fillId="49" borderId="260" xfId="31" applyNumberFormat="1" applyFont="1" applyFill="1" applyBorder="1" applyAlignment="1" applyProtection="1">
      <alignment horizontal="center" vertical="center"/>
      <protection locked="0"/>
    </xf>
    <xf numFmtId="165" fontId="0" fillId="12" borderId="260" xfId="31" applyFont="1" applyFill="1" applyBorder="1" applyAlignment="1" applyProtection="1">
      <alignment horizontal="center" vertical="center"/>
      <protection locked="0"/>
    </xf>
    <xf numFmtId="168" fontId="10" fillId="40" borderId="260" xfId="13" applyNumberFormat="1" applyFont="1" applyFill="1" applyBorder="1" applyAlignment="1" applyProtection="1">
      <alignment vertical="center"/>
      <protection locked="0"/>
    </xf>
    <xf numFmtId="0" fontId="10" fillId="20" borderId="261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Alignment="1">
      <alignment vertical="center"/>
    </xf>
    <xf numFmtId="178" fontId="0" fillId="73" borderId="237" xfId="13" applyNumberFormat="1" applyFont="1" applyFill="1" applyBorder="1" applyAlignment="1" applyProtection="1">
      <alignment vertical="center"/>
      <protection locked="0"/>
    </xf>
    <xf numFmtId="178" fontId="0" fillId="73" borderId="241" xfId="13" applyNumberFormat="1" applyFont="1" applyFill="1" applyBorder="1" applyAlignment="1" applyProtection="1">
      <alignment vertical="center"/>
    </xf>
    <xf numFmtId="178" fontId="0" fillId="73" borderId="242" xfId="13" applyNumberFormat="1" applyFont="1" applyFill="1" applyBorder="1" applyAlignment="1" applyProtection="1">
      <alignment vertical="center"/>
    </xf>
    <xf numFmtId="178" fontId="0" fillId="74" borderId="229" xfId="13" applyNumberFormat="1" applyFont="1" applyFill="1" applyBorder="1" applyAlignment="1" applyProtection="1">
      <alignment vertical="center"/>
    </xf>
    <xf numFmtId="178" fontId="0" fillId="74" borderId="230" xfId="13" applyNumberFormat="1" applyFont="1" applyFill="1" applyBorder="1" applyAlignment="1" applyProtection="1">
      <alignment vertical="center"/>
    </xf>
    <xf numFmtId="178" fontId="0" fillId="74" borderId="231" xfId="13" applyNumberFormat="1" applyFont="1" applyFill="1" applyBorder="1" applyAlignment="1" applyProtection="1">
      <alignment vertical="center"/>
    </xf>
    <xf numFmtId="178" fontId="0" fillId="73" borderId="132" xfId="13" applyNumberFormat="1" applyFont="1" applyFill="1" applyBorder="1" applyAlignment="1" applyProtection="1">
      <alignment vertical="center"/>
      <protection locked="0"/>
    </xf>
    <xf numFmtId="178" fontId="0" fillId="73" borderId="130" xfId="13" applyNumberFormat="1" applyFont="1" applyFill="1" applyBorder="1" applyAlignment="1" applyProtection="1">
      <alignment vertical="center"/>
    </xf>
    <xf numFmtId="178" fontId="0" fillId="73" borderId="131" xfId="13" applyNumberFormat="1" applyFont="1" applyFill="1" applyBorder="1" applyAlignment="1" applyProtection="1">
      <alignment vertical="center"/>
    </xf>
    <xf numFmtId="0" fontId="20" fillId="0" borderId="0" xfId="20"/>
    <xf numFmtId="0" fontId="0" fillId="0" borderId="0" xfId="0" applyFont="1"/>
    <xf numFmtId="0" fontId="20" fillId="0" borderId="0" xfId="20" applyBorder="1" applyAlignment="1" applyProtection="1">
      <alignment horizontal="left" vertical="center"/>
    </xf>
    <xf numFmtId="0" fontId="20" fillId="0" borderId="0" xfId="20" applyBorder="1" applyAlignment="1" applyProtection="1">
      <alignment horizontal="left" vertical="center" wrapText="1"/>
    </xf>
    <xf numFmtId="0" fontId="20" fillId="0" borderId="0" xfId="20" applyBorder="1" applyAlignment="1" applyProtection="1">
      <alignment horizontal="left" vertical="center" indent="2"/>
    </xf>
    <xf numFmtId="0" fontId="20" fillId="0" borderId="0" xfId="20" applyFont="1"/>
    <xf numFmtId="168" fontId="0" fillId="9" borderId="155" xfId="13" applyNumberFormat="1" applyFont="1" applyFill="1" applyBorder="1" applyAlignment="1" applyProtection="1">
      <alignment horizontal="right" vertical="center"/>
    </xf>
    <xf numFmtId="168" fontId="0" fillId="9" borderId="156" xfId="13" applyNumberFormat="1" applyFont="1" applyFill="1" applyBorder="1" applyAlignment="1" applyProtection="1">
      <alignment horizontal="right" vertical="center"/>
    </xf>
    <xf numFmtId="0" fontId="0" fillId="0" borderId="184" xfId="0" applyFont="1" applyFill="1" applyBorder="1" applyAlignment="1" applyProtection="1">
      <alignment horizontal="center" vertical="center" wrapText="1"/>
    </xf>
    <xf numFmtId="0" fontId="0" fillId="0" borderId="81" xfId="0" applyFont="1" applyFill="1" applyBorder="1" applyAlignment="1" applyProtection="1">
      <alignment horizontal="center" vertical="center" wrapText="1"/>
    </xf>
    <xf numFmtId="0" fontId="0" fillId="0" borderId="179" xfId="0" applyFont="1" applyFill="1" applyBorder="1" applyAlignment="1" applyProtection="1">
      <alignment horizontal="center" vertical="center" wrapText="1"/>
    </xf>
    <xf numFmtId="0" fontId="0" fillId="0" borderId="202" xfId="0" applyFont="1" applyFill="1" applyBorder="1" applyAlignment="1" applyProtection="1">
      <alignment horizontal="center" vertical="center" wrapText="1"/>
    </xf>
    <xf numFmtId="0" fontId="0" fillId="0" borderId="203" xfId="0" applyFont="1" applyFill="1" applyBorder="1" applyAlignment="1" applyProtection="1">
      <alignment horizontal="center" vertical="center" wrapText="1"/>
    </xf>
    <xf numFmtId="0" fontId="0" fillId="0" borderId="84" xfId="0" applyFont="1" applyFill="1" applyBorder="1" applyAlignment="1" applyProtection="1">
      <alignment horizontal="center" vertical="center" wrapText="1"/>
    </xf>
    <xf numFmtId="168" fontId="21" fillId="31" borderId="44" xfId="0" applyNumberFormat="1" applyFont="1" applyFill="1" applyBorder="1" applyAlignment="1" applyProtection="1">
      <alignment horizontal="center" vertical="center"/>
    </xf>
    <xf numFmtId="0" fontId="22" fillId="0" borderId="187" xfId="0" applyFont="1" applyFill="1" applyBorder="1" applyAlignment="1" applyProtection="1">
      <alignment horizontal="center" vertical="center" wrapText="1"/>
    </xf>
    <xf numFmtId="0" fontId="22" fillId="0" borderId="136" xfId="0" applyFont="1" applyFill="1" applyBorder="1" applyAlignment="1" applyProtection="1">
      <alignment horizontal="center" vertical="center" wrapText="1"/>
    </xf>
    <xf numFmtId="0" fontId="22" fillId="0" borderId="60" xfId="0" applyFont="1" applyFill="1" applyBorder="1" applyAlignment="1" applyProtection="1">
      <alignment horizontal="center" vertical="center" wrapText="1"/>
    </xf>
    <xf numFmtId="168" fontId="21" fillId="31" borderId="112" xfId="0" applyNumberFormat="1" applyFont="1" applyFill="1" applyBorder="1" applyAlignment="1" applyProtection="1">
      <alignment horizontal="right" vertical="center"/>
    </xf>
    <xf numFmtId="168" fontId="21" fillId="31" borderId="177" xfId="0" applyNumberFormat="1" applyFont="1" applyFill="1" applyBorder="1" applyAlignment="1" applyProtection="1">
      <alignment horizontal="right" vertical="center"/>
    </xf>
    <xf numFmtId="0" fontId="22" fillId="43" borderId="187" xfId="0" applyFont="1" applyFill="1" applyBorder="1" applyAlignment="1" applyProtection="1">
      <alignment horizontal="center" vertical="center" wrapText="1"/>
    </xf>
    <xf numFmtId="0" fontId="22" fillId="43" borderId="136" xfId="0" applyFont="1" applyFill="1" applyBorder="1" applyAlignment="1" applyProtection="1">
      <alignment horizontal="center" vertical="center" wrapText="1"/>
    </xf>
    <xf numFmtId="0" fontId="22" fillId="43" borderId="60" xfId="0" applyFont="1" applyFill="1" applyBorder="1" applyAlignment="1" applyProtection="1">
      <alignment horizontal="center" vertical="center" wrapText="1"/>
    </xf>
    <xf numFmtId="168" fontId="21" fillId="31" borderId="177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53" xfId="0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/>
      <protection locked="0"/>
    </xf>
    <xf numFmtId="168" fontId="12" fillId="15" borderId="188" xfId="0" applyNumberFormat="1" applyFont="1" applyFill="1" applyBorder="1" applyAlignment="1" applyProtection="1">
      <alignment horizontal="center" vertical="center"/>
    </xf>
    <xf numFmtId="168" fontId="12" fillId="15" borderId="176" xfId="0" applyNumberFormat="1" applyFont="1" applyFill="1" applyBorder="1" applyAlignment="1" applyProtection="1">
      <alignment horizontal="center" vertical="center"/>
    </xf>
    <xf numFmtId="168" fontId="22" fillId="38" borderId="113" xfId="0" applyNumberFormat="1" applyFont="1" applyFill="1" applyBorder="1" applyAlignment="1" applyProtection="1">
      <alignment horizontal="center" vertical="center" wrapText="1"/>
    </xf>
    <xf numFmtId="168" fontId="22" fillId="38" borderId="115" xfId="0" applyNumberFormat="1" applyFont="1" applyFill="1" applyBorder="1" applyAlignment="1" applyProtection="1">
      <alignment horizontal="center" vertical="center" wrapText="1"/>
    </xf>
    <xf numFmtId="168" fontId="22" fillId="38" borderId="118" xfId="0" applyNumberFormat="1" applyFont="1" applyFill="1" applyBorder="1" applyAlignment="1" applyProtection="1">
      <alignment horizontal="center" vertical="center" wrapText="1"/>
    </xf>
    <xf numFmtId="168" fontId="23" fillId="33" borderId="113" xfId="0" applyNumberFormat="1" applyFont="1" applyFill="1" applyBorder="1" applyAlignment="1" applyProtection="1">
      <alignment horizontal="center" vertical="center" wrapText="1"/>
    </xf>
    <xf numFmtId="168" fontId="23" fillId="33" borderId="115" xfId="0" applyNumberFormat="1" applyFont="1" applyFill="1" applyBorder="1" applyAlignment="1" applyProtection="1">
      <alignment horizontal="center" vertical="center" wrapText="1"/>
    </xf>
    <xf numFmtId="168" fontId="23" fillId="33" borderId="118" xfId="0" applyNumberFormat="1" applyFont="1" applyFill="1" applyBorder="1" applyAlignment="1" applyProtection="1">
      <alignment horizontal="center" vertical="center" wrapText="1"/>
    </xf>
    <xf numFmtId="168" fontId="26" fillId="44" borderId="190" xfId="0" applyNumberFormat="1" applyFont="1" applyFill="1" applyBorder="1" applyAlignment="1" applyProtection="1">
      <alignment horizontal="center" vertical="center" wrapText="1"/>
    </xf>
    <xf numFmtId="168" fontId="26" fillId="44" borderId="80" xfId="0" applyNumberFormat="1" applyFont="1" applyFill="1" applyBorder="1" applyAlignment="1" applyProtection="1">
      <alignment horizontal="center" vertical="center" wrapText="1"/>
    </xf>
    <xf numFmtId="168" fontId="17" fillId="33" borderId="82" xfId="0" applyNumberFormat="1" applyFont="1" applyFill="1" applyBorder="1" applyAlignment="1" applyProtection="1">
      <alignment horizontal="center" vertical="center" wrapText="1"/>
    </xf>
    <xf numFmtId="168" fontId="17" fillId="33" borderId="81" xfId="0" applyNumberFormat="1" applyFont="1" applyFill="1" applyBorder="1" applyAlignment="1" applyProtection="1">
      <alignment horizontal="center" vertical="center" wrapText="1"/>
    </xf>
    <xf numFmtId="168" fontId="17" fillId="33" borderId="24" xfId="0" applyNumberFormat="1" applyFont="1" applyFill="1" applyBorder="1" applyAlignment="1" applyProtection="1">
      <alignment horizontal="center" vertical="center" wrapText="1"/>
    </xf>
    <xf numFmtId="168" fontId="17" fillId="33" borderId="76" xfId="0" applyNumberFormat="1" applyFont="1" applyFill="1" applyBorder="1" applyAlignment="1" applyProtection="1">
      <alignment horizontal="center" vertical="center" wrapText="1"/>
    </xf>
    <xf numFmtId="168" fontId="17" fillId="33" borderId="142" xfId="0" applyNumberFormat="1" applyFont="1" applyFill="1" applyBorder="1" applyAlignment="1" applyProtection="1">
      <alignment horizontal="center" vertical="center" wrapText="1"/>
    </xf>
    <xf numFmtId="168" fontId="17" fillId="33" borderId="136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indent="2"/>
    </xf>
    <xf numFmtId="0" fontId="12" fillId="15" borderId="185" xfId="0" applyFont="1" applyFill="1" applyBorder="1" applyAlignment="1" applyProtection="1">
      <alignment horizontal="center" vertical="center" wrapText="1"/>
    </xf>
    <xf numFmtId="0" fontId="12" fillId="15" borderId="186" xfId="0" applyFont="1" applyFill="1" applyBorder="1" applyAlignment="1" applyProtection="1">
      <alignment horizontal="center" vertical="center" wrapText="1"/>
    </xf>
    <xf numFmtId="0" fontId="12" fillId="15" borderId="182" xfId="0" applyFont="1" applyFill="1" applyBorder="1" applyAlignment="1" applyProtection="1">
      <alignment horizontal="center" vertical="center" wrapText="1"/>
    </xf>
    <xf numFmtId="0" fontId="12" fillId="15" borderId="183" xfId="0" applyFont="1" applyFill="1" applyBorder="1" applyAlignment="1" applyProtection="1">
      <alignment horizontal="center" vertical="center" wrapText="1"/>
    </xf>
    <xf numFmtId="0" fontId="21" fillId="43" borderId="207" xfId="0" applyFont="1" applyFill="1" applyBorder="1" applyAlignment="1">
      <alignment horizontal="center" vertical="center" wrapText="1"/>
    </xf>
    <xf numFmtId="0" fontId="21" fillId="43" borderId="140" xfId="0" applyFont="1" applyFill="1" applyBorder="1" applyAlignment="1">
      <alignment horizontal="center" vertical="center" wrapText="1"/>
    </xf>
    <xf numFmtId="0" fontId="21" fillId="43" borderId="208" xfId="0" applyFont="1" applyFill="1" applyBorder="1" applyAlignment="1">
      <alignment horizontal="center" vertical="center" wrapText="1"/>
    </xf>
    <xf numFmtId="0" fontId="21" fillId="0" borderId="134" xfId="0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 wrapText="1"/>
    </xf>
    <xf numFmtId="0" fontId="21" fillId="0" borderId="135" xfId="0" applyFont="1" applyFill="1" applyBorder="1" applyAlignment="1" applyProtection="1">
      <alignment horizontal="center" vertical="center" wrapText="1"/>
    </xf>
    <xf numFmtId="0" fontId="22" fillId="13" borderId="153" xfId="0" applyFont="1" applyFill="1" applyBorder="1" applyAlignment="1" applyProtection="1">
      <alignment horizontal="center" vertical="center"/>
      <protection locked="0"/>
    </xf>
    <xf numFmtId="0" fontId="22" fillId="13" borderId="154" xfId="0" applyFont="1" applyFill="1" applyBorder="1" applyAlignment="1" applyProtection="1">
      <alignment horizontal="center" vertical="center"/>
      <protection locked="0"/>
    </xf>
    <xf numFmtId="168" fontId="23" fillId="33" borderId="48" xfId="0" applyNumberFormat="1" applyFont="1" applyFill="1" applyBorder="1" applyAlignment="1" applyProtection="1">
      <alignment horizontal="center" vertical="center" wrapText="1"/>
    </xf>
    <xf numFmtId="168" fontId="23" fillId="33" borderId="49" xfId="0" applyNumberFormat="1" applyFont="1" applyFill="1" applyBorder="1" applyAlignment="1" applyProtection="1">
      <alignment horizontal="center" vertical="center" wrapText="1"/>
    </xf>
    <xf numFmtId="168" fontId="23" fillId="33" borderId="50" xfId="0" applyNumberFormat="1" applyFont="1" applyFill="1" applyBorder="1" applyAlignment="1" applyProtection="1">
      <alignment horizontal="center" vertical="center" wrapText="1"/>
    </xf>
    <xf numFmtId="0" fontId="22" fillId="16" borderId="40" xfId="0" applyFont="1" applyFill="1" applyBorder="1" applyAlignment="1" applyProtection="1">
      <alignment horizontal="center" vertical="center" wrapText="1"/>
    </xf>
    <xf numFmtId="0" fontId="22" fillId="16" borderId="57" xfId="0" applyFont="1" applyFill="1" applyBorder="1" applyAlignment="1" applyProtection="1">
      <alignment horizontal="center" vertical="center" wrapText="1"/>
    </xf>
    <xf numFmtId="168" fontId="23" fillId="33" borderId="22" xfId="0" applyNumberFormat="1" applyFont="1" applyFill="1" applyBorder="1" applyAlignment="1" applyProtection="1">
      <alignment horizontal="center" vertical="center" wrapText="1"/>
    </xf>
    <xf numFmtId="168" fontId="23" fillId="33" borderId="23" xfId="0" applyNumberFormat="1" applyFont="1" applyFill="1" applyBorder="1" applyAlignment="1" applyProtection="1">
      <alignment horizontal="center" vertical="center" wrapText="1"/>
    </xf>
    <xf numFmtId="168" fontId="23" fillId="33" borderId="188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left" vertical="center" indent="2"/>
    </xf>
    <xf numFmtId="0" fontId="22" fillId="15" borderId="27" xfId="0" applyFont="1" applyFill="1" applyBorder="1" applyAlignment="1" applyProtection="1">
      <alignment horizontal="center" vertical="center" wrapText="1"/>
    </xf>
    <xf numFmtId="0" fontId="22" fillId="15" borderId="54" xfId="0" applyFont="1" applyFill="1" applyBorder="1" applyAlignment="1" applyProtection="1">
      <alignment horizontal="center" vertical="center" wrapText="1"/>
    </xf>
    <xf numFmtId="0" fontId="22" fillId="16" borderId="158" xfId="0" applyFont="1" applyFill="1" applyBorder="1" applyAlignment="1" applyProtection="1">
      <alignment horizontal="center" vertical="center" wrapText="1"/>
    </xf>
    <xf numFmtId="0" fontId="22" fillId="16" borderId="159" xfId="0" applyFont="1" applyFill="1" applyBorder="1" applyAlignment="1" applyProtection="1">
      <alignment horizontal="center" vertical="center" wrapText="1"/>
    </xf>
    <xf numFmtId="0" fontId="22" fillId="15" borderId="155" xfId="0" applyFont="1" applyFill="1" applyBorder="1" applyAlignment="1" applyProtection="1">
      <alignment horizontal="center" vertical="center" wrapText="1"/>
    </xf>
    <xf numFmtId="0" fontId="22" fillId="15" borderId="138" xfId="0" applyFont="1" applyFill="1" applyBorder="1" applyAlignment="1" applyProtection="1">
      <alignment horizontal="center" vertical="center" wrapText="1"/>
    </xf>
    <xf numFmtId="0" fontId="21" fillId="45" borderId="244" xfId="0" applyFont="1" applyFill="1" applyBorder="1" applyAlignment="1" applyProtection="1">
      <alignment horizontal="center" vertical="center" wrapText="1"/>
    </xf>
    <xf numFmtId="0" fontId="21" fillId="45" borderId="205" xfId="0" applyFont="1" applyFill="1" applyBorder="1" applyAlignment="1" applyProtection="1">
      <alignment horizontal="center" vertical="center" wrapText="1"/>
    </xf>
    <xf numFmtId="0" fontId="21" fillId="45" borderId="132" xfId="0" applyFont="1" applyFill="1" applyBorder="1" applyAlignment="1" applyProtection="1">
      <alignment horizontal="center" vertical="center" wrapText="1"/>
    </xf>
    <xf numFmtId="168" fontId="23" fillId="33" borderId="69" xfId="0" applyNumberFormat="1" applyFont="1" applyFill="1" applyBorder="1" applyAlignment="1" applyProtection="1">
      <alignment horizontal="center" vertical="center" wrapText="1"/>
    </xf>
    <xf numFmtId="168" fontId="23" fillId="33" borderId="70" xfId="0" applyNumberFormat="1" applyFont="1" applyFill="1" applyBorder="1" applyAlignment="1" applyProtection="1">
      <alignment horizontal="center" vertical="center" wrapText="1"/>
    </xf>
    <xf numFmtId="168" fontId="23" fillId="33" borderId="71" xfId="0" applyNumberFormat="1" applyFont="1" applyFill="1" applyBorder="1" applyAlignment="1" applyProtection="1">
      <alignment horizontal="center" vertical="center" wrapText="1"/>
    </xf>
    <xf numFmtId="168" fontId="12" fillId="15" borderId="249" xfId="0" applyNumberFormat="1" applyFont="1" applyFill="1" applyBorder="1" applyAlignment="1" applyProtection="1">
      <alignment horizontal="center" vertical="center" wrapText="1"/>
    </xf>
    <xf numFmtId="168" fontId="12" fillId="15" borderId="151" xfId="0" applyNumberFormat="1" applyFont="1" applyFill="1" applyBorder="1" applyAlignment="1" applyProtection="1">
      <alignment horizontal="center" vertical="center" wrapText="1"/>
    </xf>
    <xf numFmtId="168" fontId="12" fillId="15" borderId="152" xfId="0" applyNumberFormat="1" applyFont="1" applyFill="1" applyBorder="1" applyAlignment="1" applyProtection="1">
      <alignment horizontal="center" vertical="center" wrapText="1"/>
    </xf>
    <xf numFmtId="0" fontId="21" fillId="45" borderId="63" xfId="0" applyFont="1" applyFill="1" applyBorder="1" applyAlignment="1" applyProtection="1">
      <alignment horizontal="center" vertical="center" wrapText="1"/>
    </xf>
    <xf numFmtId="0" fontId="21" fillId="45" borderId="160" xfId="0" applyFont="1" applyFill="1" applyBorder="1" applyAlignment="1" applyProtection="1">
      <alignment horizontal="center" vertical="center" wrapText="1"/>
    </xf>
    <xf numFmtId="0" fontId="21" fillId="45" borderId="65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5" borderId="124" xfId="0" applyFont="1" applyFill="1" applyBorder="1" applyAlignment="1" applyProtection="1">
      <alignment horizontal="center" vertical="center"/>
    </xf>
    <xf numFmtId="0" fontId="10" fillId="15" borderId="169" xfId="0" applyFont="1" applyFill="1" applyBorder="1" applyAlignment="1" applyProtection="1">
      <alignment horizontal="center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17" borderId="13" xfId="0" applyFont="1" applyFill="1" applyBorder="1" applyAlignment="1" applyProtection="1">
      <alignment horizontal="center" vertical="center"/>
    </xf>
    <xf numFmtId="0" fontId="22" fillId="1" borderId="247" xfId="0" applyFont="1" applyFill="1" applyBorder="1" applyAlignment="1" applyProtection="1">
      <alignment horizontal="center" vertical="center" wrapText="1"/>
    </xf>
    <xf numFmtId="0" fontId="22" fillId="1" borderId="136" xfId="0" applyFont="1" applyFill="1" applyBorder="1" applyAlignment="1" applyProtection="1">
      <alignment horizontal="center" vertical="center" wrapText="1"/>
    </xf>
    <xf numFmtId="0" fontId="22" fillId="1" borderId="60" xfId="0" applyFont="1" applyFill="1" applyBorder="1" applyAlignment="1" applyProtection="1">
      <alignment horizontal="center" vertical="center" wrapText="1"/>
    </xf>
    <xf numFmtId="0" fontId="22" fillId="0" borderId="247" xfId="0" applyFont="1" applyFill="1" applyBorder="1" applyAlignment="1" applyProtection="1">
      <alignment horizontal="center" vertical="center" wrapText="1"/>
    </xf>
    <xf numFmtId="0" fontId="34" fillId="36" borderId="260" xfId="0" applyFont="1" applyFill="1" applyBorder="1" applyAlignment="1" applyProtection="1">
      <alignment horizontal="center" vertical="center"/>
    </xf>
    <xf numFmtId="0" fontId="33" fillId="50" borderId="267" xfId="0" applyFont="1" applyFill="1" applyBorder="1" applyAlignment="1" applyProtection="1">
      <alignment horizontal="center" vertical="center" wrapText="1"/>
    </xf>
    <xf numFmtId="0" fontId="33" fillId="50" borderId="180" xfId="0" applyFont="1" applyFill="1" applyBorder="1" applyAlignment="1" applyProtection="1">
      <alignment horizontal="center" vertical="center" wrapText="1"/>
    </xf>
    <xf numFmtId="0" fontId="22" fillId="12" borderId="32" xfId="0" applyFont="1" applyFill="1" applyBorder="1" applyAlignment="1" applyProtection="1">
      <alignment horizontal="center" vertical="center"/>
      <protection locked="0"/>
    </xf>
    <xf numFmtId="0" fontId="22" fillId="12" borderId="19" xfId="0" applyFont="1" applyFill="1" applyBorder="1" applyAlignment="1" applyProtection="1">
      <alignment horizontal="center" vertical="center"/>
      <protection locked="0"/>
    </xf>
    <xf numFmtId="0" fontId="10" fillId="17" borderId="127" xfId="0" applyFont="1" applyFill="1" applyBorder="1" applyAlignment="1" applyProtection="1">
      <alignment horizontal="center" vertical="center"/>
    </xf>
    <xf numFmtId="0" fontId="10" fillId="16" borderId="127" xfId="0" applyFont="1" applyFill="1" applyBorder="1" applyAlignment="1" applyProtection="1">
      <alignment horizontal="center" vertical="center" wrapText="1"/>
    </xf>
    <xf numFmtId="166" fontId="12" fillId="18" borderId="166" xfId="13" applyFont="1" applyFill="1" applyBorder="1" applyAlignment="1" applyProtection="1">
      <alignment horizontal="center" vertical="center" wrapText="1"/>
    </xf>
    <xf numFmtId="166" fontId="12" fillId="18" borderId="81" xfId="13" applyFont="1" applyFill="1" applyBorder="1" applyAlignment="1" applyProtection="1">
      <alignment horizontal="center" vertical="center" wrapText="1"/>
    </xf>
    <xf numFmtId="177" fontId="0" fillId="26" borderId="134" xfId="0" applyNumberFormat="1" applyFont="1" applyFill="1" applyBorder="1" applyAlignment="1" applyProtection="1">
      <alignment horizontal="center" vertical="center"/>
    </xf>
    <xf numFmtId="177" fontId="0" fillId="26" borderId="105" xfId="0" applyNumberFormat="1" applyFont="1" applyFill="1" applyBorder="1" applyAlignment="1" applyProtection="1">
      <alignment horizontal="center" vertical="center"/>
    </xf>
    <xf numFmtId="0" fontId="9" fillId="47" borderId="135" xfId="0" applyFont="1" applyFill="1" applyBorder="1" applyAlignment="1" applyProtection="1">
      <alignment horizontal="center" vertical="center"/>
    </xf>
    <xf numFmtId="0" fontId="9" fillId="47" borderId="146" xfId="0" applyFont="1" applyFill="1" applyBorder="1" applyAlignment="1" applyProtection="1">
      <alignment horizontal="center" vertical="center"/>
    </xf>
    <xf numFmtId="0" fontId="9" fillId="46" borderId="135" xfId="0" applyFont="1" applyFill="1" applyBorder="1" applyAlignment="1" applyProtection="1">
      <alignment horizontal="center" vertical="center"/>
    </xf>
    <xf numFmtId="0" fontId="9" fillId="46" borderId="146" xfId="0" applyFont="1" applyFill="1" applyBorder="1" applyAlignment="1" applyProtection="1">
      <alignment horizontal="center" vertical="center"/>
    </xf>
    <xf numFmtId="177" fontId="0" fillId="26" borderId="106" xfId="0" applyNumberFormat="1" applyFont="1" applyFill="1" applyBorder="1" applyAlignment="1" applyProtection="1">
      <alignment horizontal="center" vertical="center"/>
    </xf>
    <xf numFmtId="0" fontId="12" fillId="16" borderId="142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10" fillId="16" borderId="90" xfId="0" applyFont="1" applyFill="1" applyBorder="1" applyAlignment="1" applyProtection="1">
      <alignment horizontal="center" vertical="center" wrapText="1"/>
    </xf>
    <xf numFmtId="0" fontId="17" fillId="47" borderId="134" xfId="0" applyFont="1" applyFill="1" applyBorder="1" applyAlignment="1" applyProtection="1">
      <alignment horizontal="center" vertical="center"/>
    </xf>
    <xf numFmtId="0" fontId="17" fillId="47" borderId="105" xfId="0" applyFont="1" applyFill="1" applyBorder="1" applyAlignment="1" applyProtection="1">
      <alignment horizontal="center" vertical="center"/>
    </xf>
    <xf numFmtId="0" fontId="17" fillId="46" borderId="134" xfId="0" applyFont="1" applyFill="1" applyBorder="1" applyAlignment="1" applyProtection="1">
      <alignment horizontal="center" vertical="center"/>
    </xf>
    <xf numFmtId="0" fontId="17" fillId="46" borderId="105" xfId="0" applyFont="1" applyFill="1" applyBorder="1" applyAlignment="1" applyProtection="1">
      <alignment horizontal="center" vertical="center"/>
    </xf>
    <xf numFmtId="0" fontId="9" fillId="14" borderId="135" xfId="0" applyFont="1" applyFill="1" applyBorder="1" applyAlignment="1" applyProtection="1">
      <alignment horizontal="center" vertical="center"/>
    </xf>
    <xf numFmtId="0" fontId="9" fillId="14" borderId="146" xfId="0" applyFont="1" applyFill="1" applyBorder="1" applyAlignment="1" applyProtection="1">
      <alignment horizontal="center" vertical="center"/>
    </xf>
    <xf numFmtId="0" fontId="17" fillId="14" borderId="104" xfId="0" applyFont="1" applyFill="1" applyBorder="1" applyAlignment="1" applyProtection="1">
      <alignment horizontal="center" vertical="center"/>
    </xf>
    <xf numFmtId="0" fontId="17" fillId="14" borderId="94" xfId="0" applyFont="1" applyFill="1" applyBorder="1" applyAlignment="1" applyProtection="1">
      <alignment horizontal="center" vertical="center"/>
    </xf>
    <xf numFmtId="0" fontId="17" fillId="47" borderId="104" xfId="0" applyFont="1" applyFill="1" applyBorder="1" applyAlignment="1" applyProtection="1">
      <alignment horizontal="center" vertical="center"/>
    </xf>
    <xf numFmtId="0" fontId="17" fillId="47" borderId="126" xfId="0" applyFont="1" applyFill="1" applyBorder="1" applyAlignment="1" applyProtection="1">
      <alignment horizontal="center" vertical="center"/>
    </xf>
    <xf numFmtId="0" fontId="17" fillId="46" borderId="106" xfId="0" applyFont="1" applyFill="1" applyBorder="1" applyAlignment="1" applyProtection="1">
      <alignment horizontal="center" vertical="center"/>
    </xf>
    <xf numFmtId="0" fontId="17" fillId="46" borderId="126" xfId="0" applyFont="1" applyFill="1" applyBorder="1" applyAlignment="1" applyProtection="1">
      <alignment horizontal="center" vertical="center"/>
    </xf>
    <xf numFmtId="0" fontId="17" fillId="14" borderId="134" xfId="0" applyFont="1" applyFill="1" applyBorder="1" applyAlignment="1" applyProtection="1">
      <alignment horizontal="center" vertical="center"/>
    </xf>
    <xf numFmtId="0" fontId="17" fillId="14" borderId="105" xfId="0" applyFont="1" applyFill="1" applyBorder="1" applyAlignment="1" applyProtection="1">
      <alignment horizontal="center" vertical="center"/>
    </xf>
    <xf numFmtId="0" fontId="22" fillId="46" borderId="93" xfId="0" applyFont="1" applyFill="1" applyBorder="1" applyAlignment="1" applyProtection="1">
      <alignment horizontal="center" vertical="center" textRotation="90" wrapText="1"/>
    </xf>
    <xf numFmtId="0" fontId="22" fillId="46" borderId="95" xfId="0" applyFont="1" applyFill="1" applyBorder="1" applyAlignment="1" applyProtection="1">
      <alignment horizontal="center" vertical="center" textRotation="90" wrapText="1"/>
    </xf>
    <xf numFmtId="0" fontId="22" fillId="46" borderId="60" xfId="0" applyFont="1" applyFill="1" applyBorder="1" applyAlignment="1" applyProtection="1">
      <alignment horizontal="center" vertical="center" textRotation="90" wrapText="1"/>
    </xf>
    <xf numFmtId="0" fontId="22" fillId="46" borderId="93" xfId="0" applyFont="1" applyFill="1" applyBorder="1" applyAlignment="1" applyProtection="1">
      <alignment horizontal="left" vertical="center" wrapText="1"/>
    </xf>
    <xf numFmtId="0" fontId="22" fillId="46" borderId="95" xfId="0" applyFont="1" applyFill="1" applyBorder="1" applyAlignment="1" applyProtection="1">
      <alignment horizontal="left" vertical="center" wrapText="1"/>
    </xf>
    <xf numFmtId="0" fontId="22" fillId="46" borderId="60" xfId="0" applyFont="1" applyFill="1" applyBorder="1" applyAlignment="1" applyProtection="1">
      <alignment horizontal="left" vertical="center" wrapText="1"/>
    </xf>
    <xf numFmtId="0" fontId="25" fillId="46" borderId="83" xfId="0" applyFont="1" applyFill="1" applyBorder="1" applyAlignment="1" applyProtection="1">
      <alignment horizontal="center" vertical="center" textRotation="90" wrapText="1"/>
    </xf>
    <xf numFmtId="0" fontId="25" fillId="46" borderId="79" xfId="0" applyFont="1" applyFill="1" applyBorder="1" applyAlignment="1" applyProtection="1">
      <alignment horizontal="center" vertical="center" textRotation="90" wrapText="1"/>
    </xf>
    <xf numFmtId="0" fontId="22" fillId="12" borderId="279" xfId="0" applyFont="1" applyFill="1" applyBorder="1" applyAlignment="1" applyProtection="1">
      <alignment horizontal="left" vertical="center" wrapText="1"/>
      <protection locked="0"/>
    </xf>
    <xf numFmtId="0" fontId="22" fillId="12" borderId="99" xfId="0" applyFont="1" applyFill="1" applyBorder="1" applyAlignment="1" applyProtection="1">
      <alignment horizontal="left" vertical="center" wrapText="1"/>
      <protection locked="0"/>
    </xf>
    <xf numFmtId="0" fontId="22" fillId="12" borderId="97" xfId="0" applyFont="1" applyFill="1" applyBorder="1" applyAlignment="1" applyProtection="1">
      <alignment horizontal="left" vertical="center" wrapText="1"/>
      <protection locked="0"/>
    </xf>
    <xf numFmtId="0" fontId="22" fillId="12" borderId="98" xfId="0" applyFont="1" applyFill="1" applyBorder="1" applyAlignment="1" applyProtection="1">
      <alignment horizontal="left" vertical="center" wrapText="1"/>
      <protection locked="0"/>
    </xf>
    <xf numFmtId="0" fontId="22" fillId="12" borderId="93" xfId="0" applyFont="1" applyFill="1" applyBorder="1" applyAlignment="1" applyProtection="1">
      <alignment horizontal="left" vertical="center" wrapText="1"/>
      <protection locked="0"/>
    </xf>
    <xf numFmtId="0" fontId="22" fillId="12" borderId="136" xfId="0" applyFont="1" applyFill="1" applyBorder="1" applyAlignment="1" applyProtection="1">
      <alignment horizontal="left" vertical="center" wrapText="1"/>
      <protection locked="0"/>
    </xf>
    <xf numFmtId="0" fontId="22" fillId="12" borderId="95" xfId="0" applyFont="1" applyFill="1" applyBorder="1" applyAlignment="1" applyProtection="1">
      <alignment horizontal="left" vertical="center" wrapText="1"/>
      <protection locked="0"/>
    </xf>
    <xf numFmtId="0" fontId="22" fillId="12" borderId="6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/>
    </xf>
    <xf numFmtId="0" fontId="12" fillId="17" borderId="21" xfId="0" applyFont="1" applyFill="1" applyBorder="1" applyAlignment="1" applyProtection="1">
      <alignment horizontal="center" vertical="center" wrapText="1"/>
    </xf>
    <xf numFmtId="0" fontId="12" fillId="17" borderId="109" xfId="0" applyFont="1" applyFill="1" applyBorder="1" applyAlignment="1" applyProtection="1">
      <alignment horizontal="center" vertical="center" wrapText="1"/>
    </xf>
    <xf numFmtId="0" fontId="10" fillId="15" borderId="21" xfId="0" applyFont="1" applyFill="1" applyBorder="1" applyAlignment="1" applyProtection="1">
      <alignment horizontal="center" vertical="center" wrapText="1"/>
    </xf>
    <xf numFmtId="0" fontId="10" fillId="15" borderId="109" xfId="0" applyFont="1" applyFill="1" applyBorder="1" applyAlignment="1" applyProtection="1">
      <alignment horizontal="center" vertical="center" wrapText="1"/>
    </xf>
    <xf numFmtId="0" fontId="12" fillId="26" borderId="45" xfId="0" applyFont="1" applyFill="1" applyBorder="1" applyAlignment="1" applyProtection="1">
      <alignment horizontal="center" vertical="center" wrapText="1"/>
    </xf>
    <xf numFmtId="0" fontId="12" fillId="26" borderId="95" xfId="0" applyFont="1" applyFill="1" applyBorder="1" applyAlignment="1" applyProtection="1">
      <alignment horizontal="center" vertical="center" wrapText="1"/>
    </xf>
    <xf numFmtId="0" fontId="17" fillId="14" borderId="143" xfId="0" applyFont="1" applyFill="1" applyBorder="1" applyAlignment="1" applyProtection="1">
      <alignment horizontal="center" vertical="center"/>
    </xf>
    <xf numFmtId="0" fontId="17" fillId="46" borderId="143" xfId="0" applyFont="1" applyFill="1" applyBorder="1" applyAlignment="1" applyProtection="1">
      <alignment horizontal="center" vertical="center"/>
    </xf>
    <xf numFmtId="0" fontId="12" fillId="16" borderId="249" xfId="0" applyFont="1" applyFill="1" applyBorder="1" applyAlignment="1" applyProtection="1">
      <alignment horizontal="center" vertical="center" wrapText="1"/>
    </xf>
    <xf numFmtId="0" fontId="12" fillId="16" borderId="270" xfId="0" applyFont="1" applyFill="1" applyBorder="1" applyAlignment="1" applyProtection="1">
      <alignment horizontal="center" vertical="center" wrapText="1"/>
    </xf>
    <xf numFmtId="0" fontId="12" fillId="16" borderId="235" xfId="0" applyFont="1" applyFill="1" applyBorder="1" applyAlignment="1" applyProtection="1">
      <alignment horizontal="center" vertical="center" wrapText="1"/>
    </xf>
    <xf numFmtId="0" fontId="12" fillId="16" borderId="280" xfId="0" applyFont="1" applyFill="1" applyBorder="1" applyAlignment="1" applyProtection="1">
      <alignment horizontal="center" vertical="center" wrapText="1"/>
    </xf>
    <xf numFmtId="0" fontId="12" fillId="16" borderId="220" xfId="0" applyFont="1" applyFill="1" applyBorder="1" applyAlignment="1" applyProtection="1">
      <alignment horizontal="center" vertical="center"/>
    </xf>
    <xf numFmtId="0" fontId="12" fillId="16" borderId="281" xfId="0" applyFont="1" applyFill="1" applyBorder="1" applyAlignment="1" applyProtection="1">
      <alignment horizontal="center" vertical="center"/>
    </xf>
    <xf numFmtId="0" fontId="12" fillId="16" borderId="220" xfId="0" applyFont="1" applyFill="1" applyBorder="1" applyAlignment="1" applyProtection="1">
      <alignment horizontal="center" vertical="center" wrapText="1"/>
    </xf>
    <xf numFmtId="0" fontId="12" fillId="16" borderId="281" xfId="0" applyFont="1" applyFill="1" applyBorder="1" applyAlignment="1" applyProtection="1">
      <alignment horizontal="center" vertical="center" wrapText="1"/>
    </xf>
    <xf numFmtId="0" fontId="21" fillId="16" borderId="221" xfId="0" applyFont="1" applyFill="1" applyBorder="1" applyAlignment="1" applyProtection="1">
      <alignment horizontal="center" vertical="center" wrapText="1"/>
    </xf>
    <xf numFmtId="0" fontId="21" fillId="16" borderId="151" xfId="0" applyFont="1" applyFill="1" applyBorder="1" applyAlignment="1" applyProtection="1">
      <alignment horizontal="center" vertical="center" wrapText="1"/>
    </xf>
    <xf numFmtId="0" fontId="21" fillId="16" borderId="15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43" borderId="207" xfId="0" applyFont="1" applyFill="1" applyBorder="1" applyAlignment="1" applyProtection="1">
      <alignment horizontal="left" vertical="center" wrapText="1"/>
    </xf>
    <xf numFmtId="0" fontId="22" fillId="43" borderId="140" xfId="0" applyFont="1" applyFill="1" applyBorder="1" applyAlignment="1" applyProtection="1">
      <alignment horizontal="left" vertical="center" wrapText="1"/>
    </xf>
    <xf numFmtId="0" fontId="22" fillId="43" borderId="208" xfId="0" applyFont="1" applyFill="1" applyBorder="1" applyAlignment="1" applyProtection="1">
      <alignment horizontal="left" vertical="center" wrapText="1"/>
    </xf>
    <xf numFmtId="0" fontId="22" fillId="0" borderId="207" xfId="0" applyFont="1" applyFill="1" applyBorder="1" applyAlignment="1" applyProtection="1">
      <alignment horizontal="left" vertical="center" wrapText="1"/>
    </xf>
    <xf numFmtId="0" fontId="22" fillId="0" borderId="140" xfId="0" applyFont="1" applyFill="1" applyBorder="1" applyAlignment="1" applyProtection="1">
      <alignment horizontal="left" vertical="center" wrapText="1"/>
    </xf>
    <xf numFmtId="0" fontId="22" fillId="0" borderId="208" xfId="0" applyFont="1" applyFill="1" applyBorder="1" applyAlignment="1" applyProtection="1">
      <alignment horizontal="left" vertical="center" wrapText="1"/>
    </xf>
    <xf numFmtId="0" fontId="22" fillId="16" borderId="25" xfId="0" applyFont="1" applyFill="1" applyBorder="1" applyAlignment="1" applyProtection="1">
      <alignment horizontal="center" vertical="center"/>
    </xf>
    <xf numFmtId="0" fontId="22" fillId="16" borderId="26" xfId="0" applyFont="1" applyFill="1" applyBorder="1" applyAlignment="1" applyProtection="1">
      <alignment horizontal="center" vertical="center"/>
    </xf>
    <xf numFmtId="0" fontId="22" fillId="12" borderId="11" xfId="0" applyFont="1" applyFill="1" applyBorder="1" applyAlignment="1" applyProtection="1">
      <alignment horizontal="center" vertical="center"/>
      <protection locked="0"/>
    </xf>
    <xf numFmtId="0" fontId="22" fillId="12" borderId="12" xfId="0" applyFont="1" applyFill="1" applyBorder="1" applyAlignment="1" applyProtection="1">
      <alignment horizontal="center" vertical="center"/>
      <protection locked="0"/>
    </xf>
    <xf numFmtId="168" fontId="22" fillId="17" borderId="35" xfId="0" applyNumberFormat="1" applyFont="1" applyFill="1" applyBorder="1" applyAlignment="1" applyProtection="1">
      <alignment horizontal="center" vertical="center" wrapText="1"/>
    </xf>
    <xf numFmtId="168" fontId="22" fillId="17" borderId="23" xfId="0" applyNumberFormat="1" applyFont="1" applyFill="1" applyBorder="1" applyAlignment="1" applyProtection="1">
      <alignment horizontal="center" vertical="center" wrapText="1"/>
    </xf>
    <xf numFmtId="168" fontId="22" fillId="17" borderId="36" xfId="0" applyNumberFormat="1" applyFont="1" applyFill="1" applyBorder="1" applyAlignment="1" applyProtection="1">
      <alignment horizontal="center" vertical="center" wrapText="1"/>
    </xf>
    <xf numFmtId="168" fontId="23" fillId="33" borderId="35" xfId="0" applyNumberFormat="1" applyFont="1" applyFill="1" applyBorder="1" applyAlignment="1" applyProtection="1">
      <alignment horizontal="center" vertical="center" wrapText="1"/>
    </xf>
    <xf numFmtId="168" fontId="23" fillId="33" borderId="36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indent="2"/>
    </xf>
    <xf numFmtId="0" fontId="12" fillId="15" borderId="98" xfId="0" applyFont="1" applyFill="1" applyBorder="1" applyAlignment="1" applyProtection="1">
      <alignment horizontal="center" vertical="center" wrapText="1"/>
    </xf>
    <xf numFmtId="0" fontId="12" fillId="15" borderId="100" xfId="0" applyFont="1" applyFill="1" applyBorder="1" applyAlignment="1" applyProtection="1">
      <alignment horizontal="center" vertical="center" wrapText="1"/>
    </xf>
    <xf numFmtId="0" fontId="12" fillId="15" borderId="105" xfId="0" applyFont="1" applyFill="1" applyBorder="1" applyAlignment="1" applyProtection="1">
      <alignment horizontal="center" vertical="center" wrapText="1"/>
    </xf>
    <xf numFmtId="0" fontId="12" fillId="15" borderId="43" xfId="0" applyFont="1" applyFill="1" applyBorder="1" applyAlignment="1" applyProtection="1">
      <alignment horizontal="center" vertical="center" wrapText="1"/>
    </xf>
    <xf numFmtId="0" fontId="22" fillId="69" borderId="249" xfId="0" applyFont="1" applyFill="1" applyBorder="1" applyAlignment="1" applyProtection="1">
      <alignment horizontal="center" vertical="center" wrapText="1"/>
    </xf>
    <xf numFmtId="0" fontId="22" fillId="69" borderId="140" xfId="0" applyFont="1" applyFill="1" applyBorder="1" applyAlignment="1" applyProtection="1">
      <alignment horizontal="center" vertical="center" wrapText="1"/>
    </xf>
    <xf numFmtId="0" fontId="22" fillId="69" borderId="235" xfId="0" applyFont="1" applyFill="1" applyBorder="1" applyAlignment="1" applyProtection="1">
      <alignment horizontal="center" vertical="center" wrapText="1"/>
    </xf>
    <xf numFmtId="177" fontId="22" fillId="58" borderId="247" xfId="0" applyNumberFormat="1" applyFont="1" applyFill="1" applyBorder="1" applyAlignment="1" applyProtection="1">
      <alignment horizontal="right" vertical="center"/>
    </xf>
    <xf numFmtId="177" fontId="22" fillId="58" borderId="136" xfId="0" applyNumberFormat="1" applyFont="1" applyFill="1" applyBorder="1" applyAlignment="1" applyProtection="1">
      <alignment horizontal="right" vertical="center"/>
    </xf>
    <xf numFmtId="177" fontId="22" fillId="58" borderId="60" xfId="0" applyNumberFormat="1" applyFont="1" applyFill="1" applyBorder="1" applyAlignment="1" applyProtection="1">
      <alignment horizontal="right" vertical="center"/>
    </xf>
    <xf numFmtId="0" fontId="22" fillId="43" borderId="249" xfId="0" applyFont="1" applyFill="1" applyBorder="1" applyAlignment="1" applyProtection="1">
      <alignment horizontal="center" vertical="center" wrapText="1"/>
    </xf>
    <xf numFmtId="0" fontId="22" fillId="43" borderId="140" xfId="0" applyFont="1" applyFill="1" applyBorder="1" applyAlignment="1" applyProtection="1">
      <alignment horizontal="center" vertical="center" wrapText="1"/>
    </xf>
    <xf numFmtId="0" fontId="22" fillId="43" borderId="235" xfId="0" applyFont="1" applyFill="1" applyBorder="1" applyAlignment="1" applyProtection="1">
      <alignment horizontal="center" vertical="center" wrapText="1"/>
    </xf>
    <xf numFmtId="177" fontId="22" fillId="29" borderId="206" xfId="0" applyNumberFormat="1" applyFont="1" applyFill="1" applyBorder="1" applyAlignment="1" applyProtection="1">
      <alignment horizontal="right" vertical="center"/>
    </xf>
    <xf numFmtId="177" fontId="22" fillId="29" borderId="136" xfId="0" applyNumberFormat="1" applyFont="1" applyFill="1" applyBorder="1" applyAlignment="1" applyProtection="1">
      <alignment horizontal="right" vertical="center"/>
    </xf>
    <xf numFmtId="177" fontId="22" fillId="29" borderId="60" xfId="0" applyNumberFormat="1" applyFont="1" applyFill="1" applyBorder="1" applyAlignment="1" applyProtection="1">
      <alignment horizontal="right" vertical="center"/>
    </xf>
    <xf numFmtId="0" fontId="21" fillId="16" borderId="248" xfId="0" applyFont="1" applyFill="1" applyBorder="1" applyAlignment="1" applyProtection="1">
      <alignment horizontal="center" vertical="center"/>
    </xf>
    <xf numFmtId="0" fontId="21" fillId="16" borderId="143" xfId="0" applyFont="1" applyFill="1" applyBorder="1" applyAlignment="1" applyProtection="1">
      <alignment horizontal="center" vertical="center"/>
    </xf>
    <xf numFmtId="0" fontId="21" fillId="16" borderId="161" xfId="0" applyFont="1" applyFill="1" applyBorder="1" applyAlignment="1" applyProtection="1">
      <alignment horizontal="center" vertical="center"/>
    </xf>
    <xf numFmtId="0" fontId="12" fillId="27" borderId="4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42" xfId="0" applyFont="1" applyFill="1" applyBorder="1" applyAlignment="1" applyProtection="1">
      <alignment horizontal="center" vertical="center" wrapText="1"/>
    </xf>
    <xf numFmtId="0" fontId="12" fillId="27" borderId="9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2" fillId="11" borderId="249" xfId="0" applyFont="1" applyFill="1" applyBorder="1" applyAlignment="1" applyProtection="1">
      <alignment horizontal="center" vertical="center" wrapText="1"/>
    </xf>
    <xf numFmtId="0" fontId="22" fillId="11" borderId="140" xfId="0" applyFont="1" applyFill="1" applyBorder="1" applyAlignment="1" applyProtection="1">
      <alignment horizontal="center" vertical="center" wrapText="1"/>
    </xf>
    <xf numFmtId="177" fontId="22" fillId="29" borderId="142" xfId="0" applyNumberFormat="1" applyFont="1" applyFill="1" applyBorder="1" applyAlignment="1" applyProtection="1">
      <alignment horizontal="right" vertical="center"/>
    </xf>
    <xf numFmtId="177" fontId="22" fillId="29" borderId="95" xfId="0" applyNumberFormat="1" applyFont="1" applyFill="1" applyBorder="1" applyAlignment="1" applyProtection="1">
      <alignment horizontal="right" vertical="center"/>
    </xf>
    <xf numFmtId="0" fontId="12" fillId="16" borderId="246" xfId="0" applyFont="1" applyFill="1" applyBorder="1" applyAlignment="1" applyProtection="1">
      <alignment horizontal="center" vertical="center" wrapText="1"/>
    </xf>
    <xf numFmtId="0" fontId="12" fillId="16" borderId="227" xfId="0" applyFont="1" applyFill="1" applyBorder="1" applyAlignment="1" applyProtection="1">
      <alignment horizontal="center" vertical="center" wrapText="1"/>
    </xf>
    <xf numFmtId="0" fontId="12" fillId="16" borderId="140" xfId="0" applyFont="1" applyFill="1" applyBorder="1" applyAlignment="1" applyProtection="1">
      <alignment horizontal="center" vertical="center" wrapText="1"/>
    </xf>
    <xf numFmtId="0" fontId="12" fillId="16" borderId="255" xfId="0" applyFont="1" applyFill="1" applyBorder="1" applyAlignment="1" applyProtection="1">
      <alignment horizontal="center" vertical="center"/>
    </xf>
    <xf numFmtId="0" fontId="12" fillId="16" borderId="205" xfId="0" applyFont="1" applyFill="1" applyBorder="1" applyAlignment="1" applyProtection="1">
      <alignment horizontal="center" vertical="center"/>
    </xf>
    <xf numFmtId="0" fontId="12" fillId="16" borderId="171" xfId="0" applyFont="1" applyFill="1" applyBorder="1" applyAlignment="1" applyProtection="1">
      <alignment horizontal="center" vertical="center"/>
    </xf>
    <xf numFmtId="0" fontId="12" fillId="16" borderId="171" xfId="0" applyFont="1" applyFill="1" applyBorder="1" applyAlignment="1" applyProtection="1">
      <alignment horizontal="center" vertical="center" wrapText="1"/>
    </xf>
    <xf numFmtId="0" fontId="21" fillId="0" borderId="216" xfId="0" applyFont="1" applyFill="1" applyBorder="1" applyAlignment="1" applyProtection="1">
      <alignment horizontal="center" vertical="center" wrapText="1"/>
    </xf>
    <xf numFmtId="0" fontId="21" fillId="0" borderId="217" xfId="0" applyFont="1" applyFill="1" applyBorder="1" applyAlignment="1" applyProtection="1">
      <alignment horizontal="center" vertical="center" wrapText="1"/>
    </xf>
    <xf numFmtId="0" fontId="21" fillId="0" borderId="218" xfId="0" applyFont="1" applyFill="1" applyBorder="1" applyAlignment="1" applyProtection="1">
      <alignment horizontal="center" vertical="center" wrapText="1"/>
    </xf>
    <xf numFmtId="0" fontId="12" fillId="16" borderId="121" xfId="0" applyFont="1" applyFill="1" applyBorder="1" applyAlignment="1" applyProtection="1">
      <alignment horizontal="center" vertical="center" wrapText="1"/>
    </xf>
    <xf numFmtId="0" fontId="12" fillId="16" borderId="122" xfId="0" applyFont="1" applyFill="1" applyBorder="1" applyAlignment="1" applyProtection="1">
      <alignment horizontal="center" vertical="center" wrapText="1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22" fillId="12" borderId="10" xfId="0" applyFont="1" applyFill="1" applyBorder="1" applyAlignment="1" applyProtection="1">
      <alignment horizontal="center" vertical="center"/>
      <protection locked="0"/>
    </xf>
    <xf numFmtId="0" fontId="12" fillId="16" borderId="165" xfId="0" applyFont="1" applyFill="1" applyBorder="1" applyAlignment="1" applyProtection="1">
      <alignment horizontal="center" vertical="center"/>
    </xf>
    <xf numFmtId="0" fontId="12" fillId="16" borderId="120" xfId="0" applyFont="1" applyFill="1" applyBorder="1" applyAlignment="1" applyProtection="1">
      <alignment horizontal="center" vertical="center"/>
    </xf>
    <xf numFmtId="0" fontId="22" fillId="15" borderId="113" xfId="0" applyFont="1" applyFill="1" applyBorder="1" applyAlignment="1" applyProtection="1">
      <alignment horizontal="center" vertical="center" wrapText="1"/>
    </xf>
    <xf numFmtId="0" fontId="22" fillId="15" borderId="210" xfId="0" applyFont="1" applyFill="1" applyBorder="1" applyAlignment="1" applyProtection="1">
      <alignment horizontal="center" vertical="center" wrapText="1"/>
    </xf>
    <xf numFmtId="0" fontId="22" fillId="15" borderId="117" xfId="0" applyFont="1" applyFill="1" applyBorder="1" applyAlignment="1" applyProtection="1">
      <alignment horizontal="center" vertical="center" wrapText="1"/>
    </xf>
    <xf numFmtId="0" fontId="22" fillId="15" borderId="219" xfId="0" applyFont="1" applyFill="1" applyBorder="1" applyAlignment="1" applyProtection="1">
      <alignment horizontal="center" vertical="center" wrapText="1"/>
    </xf>
    <xf numFmtId="0" fontId="12" fillId="16" borderId="167" xfId="0" applyFont="1" applyFill="1" applyBorder="1" applyAlignment="1" applyProtection="1">
      <alignment horizontal="center" vertical="center"/>
    </xf>
    <xf numFmtId="0" fontId="12" fillId="16" borderId="116" xfId="0" applyFont="1" applyFill="1" applyBorder="1" applyAlignment="1" applyProtection="1">
      <alignment horizontal="center" vertical="center"/>
    </xf>
    <xf numFmtId="168" fontId="12" fillId="17" borderId="119" xfId="0" applyNumberFormat="1" applyFont="1" applyFill="1" applyBorder="1" applyAlignment="1" applyProtection="1">
      <alignment horizontal="center" vertical="center" wrapText="1"/>
    </xf>
    <xf numFmtId="168" fontId="12" fillId="17" borderId="115" xfId="0" applyNumberFormat="1" applyFont="1" applyFill="1" applyBorder="1" applyAlignment="1" applyProtection="1">
      <alignment horizontal="center" vertical="center" wrapText="1"/>
    </xf>
    <xf numFmtId="168" fontId="12" fillId="17" borderId="114" xfId="0" applyNumberFormat="1" applyFont="1" applyFill="1" applyBorder="1" applyAlignment="1" applyProtection="1">
      <alignment horizontal="center" vertical="center" wrapText="1"/>
    </xf>
    <xf numFmtId="0" fontId="0" fillId="37" borderId="28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8" xfId="0" applyFont="1" applyFill="1" applyBorder="1" applyAlignment="1" applyProtection="1">
      <alignment horizontal="left" vertical="center" wrapText="1"/>
    </xf>
    <xf numFmtId="0" fontId="0" fillId="37" borderId="29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9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</cellXfs>
  <cellStyles count="58">
    <cellStyle name="Accent" xfId="1" xr:uid="{00000000-0005-0000-0000-000000000000}"/>
    <cellStyle name="Accent 1" xfId="2" xr:uid="{00000000-0005-0000-0000-000001000000}"/>
    <cellStyle name="Accent 1 1" xfId="37" xr:uid="{00000000-0005-0000-0000-000002000000}"/>
    <cellStyle name="Accent 2" xfId="3" xr:uid="{00000000-0005-0000-0000-000003000000}"/>
    <cellStyle name="Accent 2 1" xfId="38" xr:uid="{00000000-0005-0000-0000-000004000000}"/>
    <cellStyle name="Accent 3" xfId="4" xr:uid="{00000000-0005-0000-0000-000005000000}"/>
    <cellStyle name="Accent 3 1" xfId="39" xr:uid="{00000000-0005-0000-0000-000006000000}"/>
    <cellStyle name="Accent 4" xfId="40" xr:uid="{00000000-0005-0000-0000-000007000000}"/>
    <cellStyle name="Bad" xfId="5" xr:uid="{00000000-0005-0000-0000-000008000000}"/>
    <cellStyle name="Bad 1" xfId="41" xr:uid="{00000000-0005-0000-0000-000009000000}"/>
    <cellStyle name="Error" xfId="6" xr:uid="{00000000-0005-0000-0000-00000A000000}"/>
    <cellStyle name="Error 1" xfId="42" xr:uid="{00000000-0005-0000-0000-00000B000000}"/>
    <cellStyle name="Euro" xfId="21" xr:uid="{00000000-0005-0000-0000-00000C000000}"/>
    <cellStyle name="Euro 2" xfId="22" xr:uid="{00000000-0005-0000-0000-00000D000000}"/>
    <cellStyle name="Euro 2 2" xfId="44" xr:uid="{00000000-0005-0000-0000-00000E000000}"/>
    <cellStyle name="Euro 3" xfId="23" xr:uid="{00000000-0005-0000-0000-00000F000000}"/>
    <cellStyle name="Euro 3 2" xfId="45" xr:uid="{00000000-0005-0000-0000-000010000000}"/>
    <cellStyle name="Euro 4" xfId="43" xr:uid="{00000000-0005-0000-0000-000011000000}"/>
    <cellStyle name="Footnote" xfId="7" xr:uid="{00000000-0005-0000-0000-000012000000}"/>
    <cellStyle name="Footnote 1" xfId="46" xr:uid="{00000000-0005-0000-0000-000013000000}"/>
    <cellStyle name="Good" xfId="8" xr:uid="{00000000-0005-0000-0000-000014000000}"/>
    <cellStyle name="Good 1" xfId="47" xr:uid="{00000000-0005-0000-0000-000015000000}"/>
    <cellStyle name="Heading" xfId="9" xr:uid="{00000000-0005-0000-0000-000016000000}"/>
    <cellStyle name="Heading 1" xfId="10" xr:uid="{00000000-0005-0000-0000-000017000000}"/>
    <cellStyle name="Heading 1 1" xfId="48" xr:uid="{00000000-0005-0000-0000-000018000000}"/>
    <cellStyle name="Heading 2" xfId="11" xr:uid="{00000000-0005-0000-0000-000019000000}"/>
    <cellStyle name="Heading 2 1" xfId="49" xr:uid="{00000000-0005-0000-0000-00001A000000}"/>
    <cellStyle name="Heading 3" xfId="50" xr:uid="{00000000-0005-0000-0000-00001B000000}"/>
    <cellStyle name="Hipervínculo" xfId="20" builtinId="8"/>
    <cellStyle name="Hipervínculo 2" xfId="51" xr:uid="{00000000-0005-0000-0000-00001D000000}"/>
    <cellStyle name="Millares" xfId="12" builtinId="3"/>
    <cellStyle name="Millares 2" xfId="24" xr:uid="{00000000-0005-0000-0000-00001F000000}"/>
    <cellStyle name="Moneda" xfId="13" builtinId="4"/>
    <cellStyle name="Moneda [0]" xfId="31" builtinId="7"/>
    <cellStyle name="Moneda 2" xfId="26" xr:uid="{00000000-0005-0000-0000-000022000000}"/>
    <cellStyle name="Moneda 2 2" xfId="52" xr:uid="{00000000-0005-0000-0000-000023000000}"/>
    <cellStyle name="Moneda 3" xfId="25" xr:uid="{00000000-0005-0000-0000-000024000000}"/>
    <cellStyle name="Neutral" xfId="14" builtinId="28" customBuiltin="1"/>
    <cellStyle name="Normal" xfId="0" builtinId="0"/>
    <cellStyle name="Normal 2" xfId="27" xr:uid="{00000000-0005-0000-0000-000027000000}"/>
    <cellStyle name="Normal 3" xfId="28" xr:uid="{00000000-0005-0000-0000-000028000000}"/>
    <cellStyle name="Normal 4" xfId="29" xr:uid="{00000000-0005-0000-0000-000029000000}"/>
    <cellStyle name="Note" xfId="15" xr:uid="{00000000-0005-0000-0000-00002A000000}"/>
    <cellStyle name="Note 1" xfId="53" xr:uid="{00000000-0005-0000-0000-00002B000000}"/>
    <cellStyle name="Note 2" xfId="33" xr:uid="{00000000-0005-0000-0000-00002C000000}"/>
    <cellStyle name="Note 3" xfId="34" xr:uid="{00000000-0005-0000-0000-00002D000000}"/>
    <cellStyle name="Note 4" xfId="32" xr:uid="{00000000-0005-0000-0000-00002E000000}"/>
    <cellStyle name="Note 5" xfId="36" xr:uid="{00000000-0005-0000-0000-00002F000000}"/>
    <cellStyle name="Note 6" xfId="35" xr:uid="{00000000-0005-0000-0000-000030000000}"/>
    <cellStyle name="Porcentaje" xfId="16" builtinId="5"/>
    <cellStyle name="Porcentaje 2" xfId="30" xr:uid="{00000000-0005-0000-0000-000032000000}"/>
    <cellStyle name="Porcentaje 2 2" xfId="54" xr:uid="{00000000-0005-0000-0000-000033000000}"/>
    <cellStyle name="Status" xfId="17" xr:uid="{00000000-0005-0000-0000-000034000000}"/>
    <cellStyle name="Status 1" xfId="55" xr:uid="{00000000-0005-0000-0000-000035000000}"/>
    <cellStyle name="Text" xfId="18" xr:uid="{00000000-0005-0000-0000-000036000000}"/>
    <cellStyle name="Text 1" xfId="56" xr:uid="{00000000-0005-0000-0000-000037000000}"/>
    <cellStyle name="Warning" xfId="19" xr:uid="{00000000-0005-0000-0000-000038000000}"/>
    <cellStyle name="Warning 1" xfId="57" xr:uid="{00000000-0005-0000-0000-00003900000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0000CC"/>
      <color rgb="FFFF0909"/>
      <color rgb="FF00009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296337</xdr:colOff>
      <xdr:row>58</xdr:row>
      <xdr:rowOff>74083</xdr:rowOff>
    </xdr:from>
    <xdr:to>
      <xdr:col>16</xdr:col>
      <xdr:colOff>526671</xdr:colOff>
      <xdr:row>112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DC26E5-BD47-433D-BABE-403A582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7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328087</xdr:colOff>
      <xdr:row>113</xdr:row>
      <xdr:rowOff>63499</xdr:rowOff>
    </xdr:from>
    <xdr:to>
      <xdr:col>8</xdr:col>
      <xdr:colOff>433727</xdr:colOff>
      <xdr:row>163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658F530-D1EC-4DA0-A35A-66C19C65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087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306921</xdr:colOff>
      <xdr:row>8</xdr:row>
      <xdr:rowOff>0</xdr:rowOff>
    </xdr:from>
    <xdr:to>
      <xdr:col>16</xdr:col>
      <xdr:colOff>539755</xdr:colOff>
      <xdr:row>56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D44AD0-EF60-40C9-B816-619BD842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921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4268840\AppData\Local\Microsoft\Windows\Temporary%20Internet%20Files\Content.Outlook\ELMAD3LY\Planilla_tarifas_a__educacional_2021__bienique%200%25lor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C23">
            <v>1178340</v>
          </cell>
        </row>
        <row r="24">
          <cell r="C24">
            <v>3077521.5</v>
          </cell>
        </row>
        <row r="25">
          <cell r="C25">
            <v>861080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59" zoomScale="90" zoomScaleNormal="90" workbookViewId="0">
      <selection activeCell="O7" sqref="O7"/>
    </sheetView>
  </sheetViews>
  <sheetFormatPr baseColWidth="10" defaultColWidth="11.42578125" defaultRowHeight="12.75" x14ac:dyDescent="0.2"/>
  <cols>
    <col min="1" max="16384" width="11.42578125" style="65"/>
  </cols>
  <sheetData>
    <row r="1" spans="3:10" x14ac:dyDescent="0.2">
      <c r="J1" s="64"/>
    </row>
    <row r="2" spans="3:10" x14ac:dyDescent="0.2">
      <c r="J2" s="64" t="s">
        <v>83</v>
      </c>
    </row>
    <row r="3" spans="3:10" x14ac:dyDescent="0.2">
      <c r="J3" s="64"/>
    </row>
    <row r="5" spans="3:10" x14ac:dyDescent="0.2">
      <c r="C5" s="66"/>
      <c r="D5" s="66"/>
      <c r="E5" s="66"/>
      <c r="F5" s="66"/>
      <c r="G5" s="66"/>
      <c r="H5" s="66"/>
      <c r="I5" s="66"/>
      <c r="J5" s="66"/>
    </row>
    <row r="6" spans="3:10" x14ac:dyDescent="0.2">
      <c r="C6" s="66"/>
      <c r="D6" s="66"/>
      <c r="E6" s="66"/>
      <c r="F6" s="66"/>
      <c r="G6" s="66"/>
      <c r="H6" s="66"/>
      <c r="I6" s="66"/>
      <c r="J6" s="66"/>
    </row>
    <row r="7" spans="3:10" x14ac:dyDescent="0.2">
      <c r="C7" s="66"/>
      <c r="D7" s="66"/>
      <c r="E7" s="66"/>
      <c r="F7" s="66"/>
      <c r="G7" s="66"/>
      <c r="H7" s="66"/>
      <c r="I7" s="66"/>
      <c r="J7" s="66"/>
    </row>
    <row r="8" spans="3:10" x14ac:dyDescent="0.2">
      <c r="C8" s="66"/>
      <c r="D8" s="66"/>
      <c r="E8" s="66"/>
      <c r="F8" s="66"/>
      <c r="G8" s="66"/>
      <c r="H8" s="66"/>
      <c r="I8" s="66"/>
      <c r="J8" s="66"/>
    </row>
    <row r="9" spans="3:10" x14ac:dyDescent="0.2">
      <c r="C9" s="66"/>
      <c r="D9" s="66"/>
      <c r="E9" s="66"/>
      <c r="F9" s="66"/>
      <c r="G9" s="66"/>
      <c r="H9" s="66"/>
      <c r="I9" s="66"/>
      <c r="J9" s="66"/>
    </row>
    <row r="10" spans="3:10" x14ac:dyDescent="0.2">
      <c r="C10" s="66"/>
      <c r="D10" s="66"/>
      <c r="E10" s="66"/>
      <c r="F10" s="66"/>
      <c r="G10" s="66"/>
      <c r="H10" s="66"/>
      <c r="I10" s="66"/>
      <c r="J10" s="66"/>
    </row>
    <row r="11" spans="3:10" x14ac:dyDescent="0.2">
      <c r="C11" s="66"/>
      <c r="D11" s="66"/>
      <c r="E11" s="66"/>
      <c r="F11" s="66"/>
      <c r="G11" s="66"/>
      <c r="H11" s="66"/>
      <c r="I11" s="66"/>
      <c r="J11" s="66"/>
    </row>
    <row r="12" spans="3:10" x14ac:dyDescent="0.2">
      <c r="C12" s="66"/>
      <c r="D12" s="66"/>
      <c r="E12" s="66"/>
      <c r="F12" s="66"/>
      <c r="G12" s="66"/>
      <c r="H12" s="66"/>
      <c r="I12" s="66"/>
      <c r="J12" s="66"/>
    </row>
    <row r="13" spans="3:10" x14ac:dyDescent="0.2">
      <c r="C13" s="66"/>
      <c r="D13" s="66"/>
      <c r="E13" s="66"/>
      <c r="F13" s="66"/>
      <c r="G13" s="66"/>
      <c r="H13" s="66"/>
      <c r="I13" s="66"/>
      <c r="J13" s="66"/>
    </row>
    <row r="14" spans="3:10" x14ac:dyDescent="0.2">
      <c r="C14" s="66"/>
      <c r="D14" s="66"/>
      <c r="E14" s="66"/>
      <c r="F14" s="66"/>
      <c r="G14" s="66"/>
      <c r="H14" s="66"/>
      <c r="I14" s="66"/>
      <c r="J14" s="66"/>
    </row>
    <row r="15" spans="3:10" x14ac:dyDescent="0.2">
      <c r="C15" s="66"/>
      <c r="D15" s="66"/>
      <c r="E15" s="66"/>
      <c r="F15" s="66"/>
      <c r="G15" s="66"/>
      <c r="H15" s="66"/>
      <c r="I15" s="66"/>
      <c r="J15" s="66"/>
    </row>
    <row r="16" spans="3:10" x14ac:dyDescent="0.2">
      <c r="C16" s="66"/>
      <c r="D16" s="66"/>
      <c r="E16" s="66"/>
      <c r="F16" s="66"/>
      <c r="G16" s="66"/>
      <c r="H16" s="66"/>
      <c r="I16" s="66"/>
      <c r="J16" s="66"/>
    </row>
    <row r="17" spans="3:10" x14ac:dyDescent="0.2">
      <c r="C17" s="66"/>
      <c r="D17" s="66"/>
      <c r="E17" s="66"/>
      <c r="F17" s="66"/>
      <c r="G17" s="66"/>
      <c r="H17" s="66"/>
      <c r="I17" s="66"/>
      <c r="J17" s="66"/>
    </row>
    <row r="18" spans="3:10" x14ac:dyDescent="0.2">
      <c r="C18" s="66"/>
      <c r="D18" s="66"/>
      <c r="E18" s="66"/>
      <c r="F18" s="66"/>
      <c r="G18" s="66"/>
      <c r="H18" s="66"/>
      <c r="I18" s="66"/>
      <c r="J18" s="66"/>
    </row>
    <row r="19" spans="3:10" x14ac:dyDescent="0.2">
      <c r="C19" s="66"/>
      <c r="D19" s="66"/>
      <c r="E19" s="66"/>
      <c r="F19" s="66"/>
      <c r="G19" s="66"/>
      <c r="H19" s="66"/>
      <c r="I19" s="66"/>
      <c r="J19" s="66"/>
    </row>
    <row r="20" spans="3:10" x14ac:dyDescent="0.2">
      <c r="C20" s="66"/>
      <c r="D20" s="66"/>
      <c r="E20" s="66"/>
      <c r="F20" s="66"/>
      <c r="G20" s="66"/>
      <c r="H20" s="66"/>
      <c r="I20" s="66"/>
      <c r="J20" s="66"/>
    </row>
    <row r="21" spans="3:10" x14ac:dyDescent="0.2">
      <c r="C21" s="66"/>
      <c r="D21" s="66"/>
      <c r="E21" s="66"/>
      <c r="F21" s="66"/>
      <c r="G21" s="66"/>
      <c r="H21" s="66"/>
      <c r="I21" s="66"/>
      <c r="J21" s="66"/>
    </row>
    <row r="22" spans="3:10" x14ac:dyDescent="0.2">
      <c r="C22" s="66"/>
      <c r="D22" s="66"/>
      <c r="E22" s="66"/>
      <c r="F22" s="66"/>
      <c r="G22" s="66"/>
      <c r="H22" s="66"/>
      <c r="I22" s="66"/>
      <c r="J22" s="66"/>
    </row>
    <row r="23" spans="3:10" x14ac:dyDescent="0.2">
      <c r="C23" s="66"/>
      <c r="D23" s="66"/>
      <c r="E23" s="66"/>
      <c r="F23" s="66"/>
      <c r="G23" s="66"/>
      <c r="H23" s="66"/>
      <c r="I23" s="66"/>
      <c r="J23" s="66"/>
    </row>
    <row r="24" spans="3:10" x14ac:dyDescent="0.2">
      <c r="C24" s="66"/>
      <c r="D24" s="66"/>
      <c r="E24" s="66"/>
      <c r="F24" s="66"/>
      <c r="G24" s="66"/>
      <c r="H24" s="66"/>
      <c r="I24" s="66"/>
      <c r="J24" s="66"/>
    </row>
    <row r="25" spans="3:10" x14ac:dyDescent="0.2">
      <c r="C25" s="66"/>
      <c r="D25" s="66"/>
      <c r="E25" s="66"/>
      <c r="F25" s="66"/>
      <c r="G25" s="66"/>
      <c r="H25" s="66"/>
      <c r="I25" s="66"/>
      <c r="J25" s="66"/>
    </row>
    <row r="26" spans="3:10" x14ac:dyDescent="0.2">
      <c r="C26" s="66"/>
      <c r="D26" s="66"/>
      <c r="E26" s="66"/>
      <c r="F26" s="66"/>
      <c r="G26" s="66"/>
      <c r="H26" s="66"/>
      <c r="I26" s="66"/>
      <c r="J26" s="66"/>
    </row>
    <row r="27" spans="3:10" x14ac:dyDescent="0.2">
      <c r="C27" s="66"/>
      <c r="D27" s="66"/>
      <c r="E27" s="66"/>
      <c r="F27" s="66"/>
      <c r="G27" s="66"/>
      <c r="H27" s="66"/>
      <c r="I27" s="66"/>
      <c r="J27" s="66"/>
    </row>
    <row r="28" spans="3:10" x14ac:dyDescent="0.2">
      <c r="C28" s="66"/>
      <c r="D28" s="66"/>
      <c r="E28" s="66"/>
      <c r="F28" s="66"/>
      <c r="G28" s="66"/>
      <c r="H28" s="66"/>
      <c r="I28" s="66"/>
      <c r="J28" s="66"/>
    </row>
    <row r="29" spans="3:10" x14ac:dyDescent="0.2">
      <c r="C29" s="66"/>
      <c r="D29" s="66"/>
      <c r="E29" s="66"/>
      <c r="F29" s="66"/>
      <c r="G29" s="66"/>
      <c r="H29" s="66"/>
      <c r="I29" s="66"/>
      <c r="J29" s="66"/>
    </row>
    <row r="30" spans="3:10" x14ac:dyDescent="0.2">
      <c r="C30" s="66"/>
      <c r="D30" s="66"/>
      <c r="E30" s="66"/>
      <c r="F30" s="66"/>
      <c r="G30" s="66"/>
      <c r="H30" s="66"/>
      <c r="I30" s="66"/>
      <c r="J30" s="66"/>
    </row>
    <row r="31" spans="3:10" x14ac:dyDescent="0.2">
      <c r="C31" s="66"/>
      <c r="D31" s="66"/>
      <c r="E31" s="66"/>
      <c r="F31" s="66"/>
      <c r="G31" s="66"/>
      <c r="H31" s="66"/>
      <c r="I31" s="66"/>
      <c r="J31" s="66"/>
    </row>
    <row r="32" spans="3:10" x14ac:dyDescent="0.2">
      <c r="C32" s="66"/>
      <c r="D32" s="66"/>
      <c r="E32" s="66"/>
      <c r="F32" s="66"/>
      <c r="G32" s="66"/>
      <c r="H32" s="66"/>
      <c r="I32" s="66"/>
      <c r="J32" s="66"/>
    </row>
    <row r="33" spans="3:10" x14ac:dyDescent="0.2">
      <c r="C33" s="66"/>
      <c r="D33" s="66"/>
      <c r="E33" s="66"/>
      <c r="F33" s="66"/>
      <c r="G33" s="66"/>
      <c r="H33" s="66"/>
      <c r="I33" s="66"/>
      <c r="J33" s="66"/>
    </row>
    <row r="34" spans="3:10" x14ac:dyDescent="0.2">
      <c r="C34" s="66"/>
      <c r="D34" s="66"/>
      <c r="E34" s="66"/>
      <c r="F34" s="66"/>
      <c r="G34" s="66"/>
      <c r="H34" s="66"/>
      <c r="I34" s="66"/>
      <c r="J34" s="66"/>
    </row>
    <row r="35" spans="3:10" x14ac:dyDescent="0.2">
      <c r="C35" s="66"/>
      <c r="D35" s="66"/>
      <c r="E35" s="66"/>
      <c r="F35" s="66"/>
      <c r="G35" s="66"/>
      <c r="H35" s="66"/>
      <c r="I35" s="66"/>
      <c r="J35" s="66"/>
    </row>
    <row r="36" spans="3:10" x14ac:dyDescent="0.2">
      <c r="C36" s="66"/>
      <c r="D36" s="66"/>
      <c r="E36" s="66"/>
      <c r="F36" s="66"/>
      <c r="G36" s="66"/>
      <c r="H36" s="66"/>
      <c r="I36" s="66"/>
      <c r="J36" s="66"/>
    </row>
    <row r="37" spans="3:10" x14ac:dyDescent="0.2">
      <c r="C37" s="66"/>
      <c r="D37" s="66"/>
      <c r="E37" s="66"/>
      <c r="F37" s="66"/>
      <c r="G37" s="66"/>
      <c r="H37" s="66"/>
      <c r="I37" s="66"/>
      <c r="J37" s="66"/>
    </row>
    <row r="38" spans="3:10" x14ac:dyDescent="0.2">
      <c r="C38" s="66"/>
      <c r="D38" s="66"/>
      <c r="E38" s="66"/>
      <c r="F38" s="66"/>
      <c r="G38" s="66"/>
      <c r="H38" s="66"/>
      <c r="I38" s="66"/>
      <c r="J38" s="66"/>
    </row>
    <row r="39" spans="3:10" x14ac:dyDescent="0.2">
      <c r="C39" s="66"/>
      <c r="D39" s="66"/>
      <c r="E39" s="66"/>
      <c r="F39" s="66"/>
      <c r="G39" s="66"/>
      <c r="H39" s="66"/>
      <c r="I39" s="66"/>
      <c r="J39" s="66"/>
    </row>
    <row r="40" spans="3:10" x14ac:dyDescent="0.2">
      <c r="C40" s="66"/>
      <c r="D40" s="66"/>
      <c r="E40" s="66"/>
      <c r="F40" s="66"/>
      <c r="G40" s="66"/>
      <c r="H40" s="66"/>
      <c r="I40" s="66"/>
      <c r="J40" s="66"/>
    </row>
    <row r="41" spans="3:10" x14ac:dyDescent="0.2">
      <c r="C41" s="66"/>
      <c r="D41" s="66"/>
      <c r="E41" s="66"/>
      <c r="F41" s="66"/>
      <c r="G41" s="66"/>
      <c r="H41" s="66"/>
      <c r="I41" s="66"/>
      <c r="J41" s="66"/>
    </row>
    <row r="42" spans="3:10" x14ac:dyDescent="0.2">
      <c r="C42" s="66"/>
      <c r="D42" s="66"/>
      <c r="E42" s="66"/>
      <c r="F42" s="66"/>
      <c r="G42" s="66"/>
      <c r="H42" s="66"/>
      <c r="I42" s="66"/>
      <c r="J42" s="66"/>
    </row>
    <row r="43" spans="3:10" x14ac:dyDescent="0.2">
      <c r="C43" s="66"/>
      <c r="D43" s="66"/>
      <c r="E43" s="66"/>
      <c r="F43" s="66"/>
      <c r="G43" s="66"/>
      <c r="H43" s="66"/>
      <c r="I43" s="66"/>
      <c r="J43" s="66"/>
    </row>
    <row r="44" spans="3:10" x14ac:dyDescent="0.2">
      <c r="C44" s="66"/>
      <c r="D44" s="66"/>
      <c r="E44" s="66"/>
      <c r="F44" s="66"/>
      <c r="G44" s="66"/>
      <c r="H44" s="66"/>
      <c r="I44" s="66"/>
      <c r="J44" s="66"/>
    </row>
    <row r="45" spans="3:10" x14ac:dyDescent="0.2">
      <c r="C45" s="66"/>
      <c r="D45" s="66"/>
      <c r="E45" s="66"/>
      <c r="F45" s="66"/>
      <c r="G45" s="66"/>
      <c r="H45" s="66"/>
      <c r="I45" s="66"/>
      <c r="J45" s="66"/>
    </row>
    <row r="46" spans="3:10" x14ac:dyDescent="0.2">
      <c r="C46" s="66"/>
      <c r="D46" s="66"/>
      <c r="E46" s="66"/>
      <c r="F46" s="66"/>
      <c r="G46" s="66"/>
      <c r="H46" s="66"/>
      <c r="I46" s="66"/>
      <c r="J46" s="66"/>
    </row>
    <row r="47" spans="3:10" x14ac:dyDescent="0.2">
      <c r="C47" s="66"/>
      <c r="D47" s="66"/>
      <c r="E47" s="66"/>
      <c r="F47" s="66"/>
      <c r="G47" s="66"/>
      <c r="H47" s="66"/>
      <c r="I47" s="66"/>
      <c r="J47" s="66"/>
    </row>
    <row r="48" spans="3:10" x14ac:dyDescent="0.2">
      <c r="C48" s="66"/>
      <c r="D48" s="66"/>
      <c r="E48" s="66"/>
      <c r="F48" s="66"/>
      <c r="G48" s="66"/>
      <c r="H48" s="66"/>
      <c r="I48" s="66"/>
      <c r="J48" s="66"/>
    </row>
    <row r="49" spans="3:10" x14ac:dyDescent="0.2">
      <c r="C49" s="66"/>
      <c r="D49" s="66"/>
      <c r="E49" s="66"/>
      <c r="F49" s="66"/>
      <c r="G49" s="66"/>
      <c r="H49" s="66"/>
      <c r="I49" s="66"/>
      <c r="J49" s="66"/>
    </row>
    <row r="50" spans="3:10" x14ac:dyDescent="0.2">
      <c r="C50" s="66"/>
      <c r="D50" s="66"/>
      <c r="E50" s="66"/>
      <c r="F50" s="66"/>
      <c r="G50" s="66"/>
      <c r="H50" s="66"/>
      <c r="I50" s="66"/>
      <c r="J50" s="66"/>
    </row>
    <row r="51" spans="3:10" x14ac:dyDescent="0.2">
      <c r="C51" s="66"/>
      <c r="D51" s="66"/>
      <c r="E51" s="66"/>
      <c r="F51" s="66"/>
      <c r="G51" s="66"/>
      <c r="H51" s="66"/>
      <c r="I51" s="66"/>
      <c r="J51" s="66"/>
    </row>
    <row r="52" spans="3:10" x14ac:dyDescent="0.2">
      <c r="C52" s="66"/>
      <c r="D52" s="66"/>
      <c r="E52" s="66"/>
      <c r="F52" s="66"/>
      <c r="G52" s="66"/>
      <c r="H52" s="66"/>
      <c r="I52" s="66"/>
      <c r="J52" s="66"/>
    </row>
  </sheetData>
  <sheetProtection algorithmName="SHA-512" hashValue="q/p3c34YFqfAddOu74iSiXg0cO08TFAEzCeWqD66KbvJpLayEUoQbjvml0P8NtVdvjqloT5u7P8ee3MIwjCWFA==" saltValue="XlmypLEg+JZWs67HB93mN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O11" sqref="O11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07" t="s">
        <v>162</v>
      </c>
      <c r="C5" s="707"/>
      <c r="D5" s="707"/>
      <c r="E5" s="707"/>
      <c r="F5" s="707"/>
    </row>
    <row r="7" spans="2:11" x14ac:dyDescent="0.2">
      <c r="C7" s="228" t="s">
        <v>148</v>
      </c>
      <c r="D7" s="228"/>
      <c r="E7" s="228"/>
      <c r="F7" s="228"/>
      <c r="G7" s="228"/>
      <c r="H7" s="228"/>
      <c r="I7" s="228"/>
      <c r="J7" s="228"/>
      <c r="K7" s="228"/>
    </row>
    <row r="9" spans="2:11" x14ac:dyDescent="0.2">
      <c r="C9" s="228" t="s">
        <v>149</v>
      </c>
      <c r="D9" s="228"/>
      <c r="E9" s="228"/>
      <c r="F9" s="228"/>
      <c r="G9" s="228"/>
      <c r="H9" s="228"/>
      <c r="I9" s="227"/>
      <c r="J9" s="227"/>
      <c r="K9" s="227"/>
    </row>
    <row r="11" spans="2:11" x14ac:dyDescent="0.2">
      <c r="B11" s="702" t="s">
        <v>163</v>
      </c>
      <c r="C11" s="702"/>
      <c r="D11" s="702"/>
      <c r="E11" s="702"/>
      <c r="F11" s="702"/>
    </row>
    <row r="13" spans="2:11" x14ac:dyDescent="0.2">
      <c r="C13" s="229" t="s">
        <v>150</v>
      </c>
      <c r="D13" s="229"/>
      <c r="E13" s="229"/>
      <c r="F13" s="229"/>
      <c r="G13" s="229"/>
      <c r="H13" s="229"/>
    </row>
    <row r="15" spans="2:11" x14ac:dyDescent="0.2">
      <c r="C15" s="229" t="s">
        <v>151</v>
      </c>
      <c r="D15" s="229"/>
      <c r="E15" s="229"/>
      <c r="F15" s="229"/>
      <c r="G15" s="229"/>
      <c r="H15" s="229"/>
      <c r="I15" s="227"/>
      <c r="J15" s="227"/>
      <c r="K15" s="227"/>
    </row>
    <row r="19" spans="2:16" x14ac:dyDescent="0.2">
      <c r="B19" s="702" t="s">
        <v>164</v>
      </c>
      <c r="C19" s="702"/>
      <c r="D19" s="702"/>
      <c r="E19" s="702"/>
      <c r="F19" s="702"/>
    </row>
    <row r="21" spans="2:16" x14ac:dyDescent="0.2">
      <c r="C21" s="229" t="s">
        <v>152</v>
      </c>
      <c r="D21" s="229"/>
      <c r="E21" s="229"/>
      <c r="F21" s="230"/>
      <c r="G21" s="230"/>
      <c r="H21" s="230"/>
    </row>
    <row r="22" spans="2:16" x14ac:dyDescent="0.2">
      <c r="C22" s="703"/>
      <c r="D22" s="703"/>
      <c r="E22" s="703"/>
      <c r="F22" s="703"/>
      <c r="G22" s="703"/>
      <c r="H22" s="703"/>
      <c r="I22" s="703"/>
      <c r="J22" s="703"/>
      <c r="K22" s="703"/>
    </row>
    <row r="24" spans="2:16" x14ac:dyDescent="0.2">
      <c r="B24" s="702" t="s">
        <v>165</v>
      </c>
      <c r="C24" s="702"/>
      <c r="D24" s="702"/>
      <c r="E24" s="702"/>
      <c r="F24" s="702"/>
    </row>
    <row r="26" spans="2:16" x14ac:dyDescent="0.2">
      <c r="C26" s="231" t="s">
        <v>153</v>
      </c>
      <c r="D26" s="231"/>
      <c r="E26" s="231"/>
      <c r="F26" s="231"/>
      <c r="G26" s="231"/>
      <c r="H26" s="231"/>
      <c r="I26" s="231"/>
      <c r="J26" s="231"/>
    </row>
    <row r="27" spans="2:16" ht="12.75" customHeight="1" x14ac:dyDescent="0.2">
      <c r="C27" s="704" t="s">
        <v>154</v>
      </c>
      <c r="D27" s="704"/>
      <c r="E27" s="704"/>
      <c r="F27" s="704"/>
      <c r="G27" s="704"/>
      <c r="H27" s="704"/>
      <c r="I27" s="704"/>
      <c r="J27" s="704"/>
      <c r="K27" s="704"/>
      <c r="L27" s="704"/>
      <c r="M27" s="704"/>
    </row>
    <row r="28" spans="2:16" ht="12.75" customHeight="1" x14ac:dyDescent="0.2"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</row>
    <row r="29" spans="2:16" ht="12.75" customHeight="1" x14ac:dyDescent="0.2">
      <c r="C29" s="231" t="s">
        <v>155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0"/>
    </row>
    <row r="30" spans="2:16" ht="12.75" customHeight="1" x14ac:dyDescent="0.2"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0"/>
    </row>
    <row r="31" spans="2:16" ht="12.75" customHeight="1" x14ac:dyDescent="0.2">
      <c r="C31" s="235" t="s">
        <v>156</v>
      </c>
      <c r="D31" s="232"/>
      <c r="E31" s="232"/>
      <c r="F31" s="234"/>
      <c r="G31" s="232"/>
      <c r="H31" s="232"/>
      <c r="I31" s="232"/>
      <c r="J31" s="232"/>
      <c r="K31" s="232"/>
      <c r="L31" s="232"/>
      <c r="M31" s="232"/>
      <c r="N31" s="230"/>
      <c r="O31" s="230"/>
      <c r="P31" s="230"/>
    </row>
    <row r="32" spans="2:16" ht="12.75" customHeight="1" x14ac:dyDescent="0.2">
      <c r="C32" s="233"/>
      <c r="D32" s="233"/>
      <c r="E32" s="233"/>
      <c r="F32" s="233"/>
      <c r="G32" s="233"/>
      <c r="H32" s="233"/>
      <c r="I32" s="232"/>
      <c r="J32" s="232"/>
      <c r="K32" s="232"/>
      <c r="L32" s="232"/>
      <c r="M32" s="232"/>
      <c r="N32" s="230"/>
    </row>
    <row r="33" spans="2:19" ht="12.75" customHeight="1" x14ac:dyDescent="0.2">
      <c r="C33" s="705" t="s">
        <v>157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230"/>
    </row>
    <row r="34" spans="2:19" ht="12.75" customHeight="1" x14ac:dyDescent="0.2">
      <c r="C34" s="184"/>
      <c r="D34" s="184"/>
      <c r="E34" s="184"/>
      <c r="F34" s="184"/>
      <c r="G34" s="184"/>
      <c r="H34" s="184"/>
      <c r="I34" s="231"/>
      <c r="J34" s="231"/>
      <c r="K34" s="231"/>
      <c r="L34" s="231"/>
      <c r="M34" s="231"/>
      <c r="N34" s="230"/>
    </row>
    <row r="35" spans="2:19" ht="12.75" customHeight="1" x14ac:dyDescent="0.2">
      <c r="C35" s="232" t="s">
        <v>158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0"/>
    </row>
    <row r="36" spans="2:19" ht="12.75" customHeight="1" x14ac:dyDescent="0.2">
      <c r="C36" s="233"/>
      <c r="D36" s="233"/>
      <c r="E36" s="233"/>
      <c r="F36" s="233"/>
      <c r="G36" s="233"/>
      <c r="H36" s="233"/>
      <c r="I36" s="232"/>
      <c r="J36" s="232"/>
      <c r="K36" s="232"/>
      <c r="L36" s="232"/>
      <c r="M36" s="232"/>
      <c r="N36" s="230"/>
    </row>
    <row r="37" spans="2:19" ht="12.75" customHeight="1" x14ac:dyDescent="0.2"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2:19" ht="12.75" customHeight="1" x14ac:dyDescent="0.2"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2:19" ht="12.75" customHeight="1" x14ac:dyDescent="0.2">
      <c r="B39" s="235" t="s">
        <v>166</v>
      </c>
      <c r="C39" s="231"/>
      <c r="D39" s="135"/>
      <c r="E39" s="135"/>
      <c r="F39" s="135"/>
      <c r="G39" s="135"/>
      <c r="H39" s="135"/>
      <c r="I39" s="135"/>
      <c r="J39" s="135"/>
      <c r="K39" s="135"/>
      <c r="L39" s="135"/>
      <c r="M39" s="135"/>
    </row>
    <row r="40" spans="2:19" x14ac:dyDescent="0.2">
      <c r="O40" s="703"/>
      <c r="P40" s="703"/>
      <c r="Q40" s="703"/>
      <c r="R40" s="703"/>
      <c r="S40" s="703"/>
    </row>
    <row r="41" spans="2:19" x14ac:dyDescent="0.2">
      <c r="C41" s="706" t="s">
        <v>159</v>
      </c>
      <c r="D41" s="706"/>
      <c r="E41" s="706"/>
      <c r="F41" s="706"/>
    </row>
    <row r="42" spans="2:19" x14ac:dyDescent="0.2">
      <c r="C42" s="703"/>
      <c r="D42" s="703"/>
      <c r="E42" s="703"/>
      <c r="F42" s="703"/>
      <c r="G42" s="703"/>
      <c r="H42" s="703"/>
      <c r="I42" s="703"/>
      <c r="J42" s="703"/>
    </row>
    <row r="44" spans="2:19" x14ac:dyDescent="0.2">
      <c r="B44" s="702" t="s">
        <v>167</v>
      </c>
      <c r="C44" s="702"/>
      <c r="D44" s="702"/>
      <c r="E44" s="702"/>
      <c r="F44" s="702"/>
    </row>
    <row r="46" spans="2:19" x14ac:dyDescent="0.2">
      <c r="C46" s="236" t="s">
        <v>160</v>
      </c>
      <c r="D46" s="236"/>
      <c r="E46" s="236"/>
      <c r="F46" s="236"/>
      <c r="G46" s="236"/>
      <c r="H46" s="236"/>
      <c r="I46" s="236"/>
      <c r="J46" s="236"/>
      <c r="K46" s="237"/>
      <c r="L46" s="237"/>
      <c r="M46" s="237"/>
    </row>
    <row r="50" spans="2:13" x14ac:dyDescent="0.2">
      <c r="B50" s="702" t="s">
        <v>168</v>
      </c>
      <c r="C50" s="702"/>
      <c r="D50" s="702"/>
      <c r="E50" s="702"/>
      <c r="F50" s="702"/>
    </row>
    <row r="52" spans="2:13" x14ac:dyDescent="0.2">
      <c r="C52" s="231" t="s">
        <v>161</v>
      </c>
      <c r="D52" s="231"/>
      <c r="E52" s="231"/>
      <c r="F52" s="231"/>
      <c r="G52" s="230"/>
      <c r="H52" s="230"/>
      <c r="I52" s="230"/>
      <c r="J52" s="230"/>
      <c r="K52" s="230"/>
      <c r="L52" s="230"/>
      <c r="M52" s="230"/>
    </row>
    <row r="54" spans="2:13" x14ac:dyDescent="0.2">
      <c r="B54" s="230" t="s">
        <v>169</v>
      </c>
      <c r="C54" s="230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6" zoomScaleNormal="86" workbookViewId="0">
      <selection activeCell="J8" sqref="J8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201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194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26" t="s">
        <v>0</v>
      </c>
      <c r="D4" s="726"/>
      <c r="E4" s="727" t="s">
        <v>246</v>
      </c>
      <c r="F4" s="728"/>
      <c r="G4" s="72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8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46" t="s">
        <v>148</v>
      </c>
      <c r="B6" s="746"/>
      <c r="C6" s="746"/>
      <c r="D6" s="746"/>
      <c r="E6" s="4"/>
      <c r="F6" s="4"/>
      <c r="G6" s="9"/>
      <c r="H6" s="238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73" t="s">
        <v>113</v>
      </c>
      <c r="B8" s="274" t="str">
        <f>+N19</f>
        <v>Ingreso por Matrícula</v>
      </c>
      <c r="C8" s="275" t="str">
        <f>+O19</f>
        <v>Ingreso por Mensualidad</v>
      </c>
      <c r="D8" s="275" t="s">
        <v>125</v>
      </c>
      <c r="E8" s="276" t="s">
        <v>82</v>
      </c>
      <c r="F8" s="277" t="s">
        <v>79</v>
      </c>
      <c r="G8" s="278" t="s">
        <v>80</v>
      </c>
      <c r="H8" s="279" t="s">
        <v>107</v>
      </c>
      <c r="I8" s="280" t="s">
        <v>112</v>
      </c>
      <c r="L8" s="54" t="s">
        <v>111</v>
      </c>
      <c r="N8" s="95"/>
    </row>
    <row r="9" spans="1:247" x14ac:dyDescent="0.2">
      <c r="A9" s="281" t="str">
        <f>+'B) Reajuste Tarifas y Ocupación'!A12</f>
        <v>Jardín Infantil Pequeños Héroes</v>
      </c>
      <c r="B9" s="282">
        <f>+N30</f>
        <v>7818100</v>
      </c>
      <c r="C9" s="283">
        <f>+O30</f>
        <v>78181000</v>
      </c>
      <c r="D9" s="282">
        <f>+P30</f>
        <v>1171000</v>
      </c>
      <c r="E9" s="284">
        <f>+B9+D9+C9</f>
        <v>87170100</v>
      </c>
      <c r="F9" s="285">
        <f>+'C) Costos Directos'!H75</f>
        <v>79089762.609300002</v>
      </c>
      <c r="G9" s="286">
        <f>+'D) Costos Indirectos'!$AP$15*(F9/$F$12)</f>
        <v>18049072.262125239</v>
      </c>
      <c r="H9" s="287">
        <f>+F9+G9</f>
        <v>97138834.871425241</v>
      </c>
      <c r="I9" s="288">
        <f>E9-H9</f>
        <v>-9968734.8714252412</v>
      </c>
      <c r="L9" s="74">
        <f>+G9/$G$12</f>
        <v>0.67704954167284748</v>
      </c>
      <c r="N9" s="96"/>
    </row>
    <row r="10" spans="1:247" x14ac:dyDescent="0.2">
      <c r="A10" s="424" t="s">
        <v>242</v>
      </c>
      <c r="B10" s="282">
        <f>+N33+'A) Resumen Ingresos y Egresos'!N39</f>
        <v>0</v>
      </c>
      <c r="C10" s="283">
        <f>O33+O39</f>
        <v>52080000</v>
      </c>
      <c r="D10" s="619"/>
      <c r="E10" s="284">
        <f>+B10+D10+C10</f>
        <v>52080000</v>
      </c>
      <c r="F10" s="285">
        <f>'C) Costos Directos'!H139</f>
        <v>37725562.919000007</v>
      </c>
      <c r="G10" s="286">
        <f>+'D) Costos Indirectos'!$AP$15*(F10/$F$12)</f>
        <v>8609349.5389290303</v>
      </c>
      <c r="H10" s="287">
        <f>+F10+G10</f>
        <v>46334912.457929038</v>
      </c>
      <c r="I10" s="288">
        <f t="shared" ref="I10:I11" si="0">E10-H10</f>
        <v>5745087.5420709625</v>
      </c>
      <c r="L10" s="74">
        <f>+G10/$G$12</f>
        <v>0.32295045832715252</v>
      </c>
      <c r="N10" s="96"/>
    </row>
    <row r="11" spans="1:247" x14ac:dyDescent="0.2">
      <c r="A11" s="424" t="s">
        <v>243</v>
      </c>
      <c r="B11" s="282">
        <f>N36</f>
        <v>0</v>
      </c>
      <c r="C11" s="283">
        <f>O36</f>
        <v>0</v>
      </c>
      <c r="D11" s="619"/>
      <c r="E11" s="284">
        <f>+B11+D11+C11</f>
        <v>0</v>
      </c>
      <c r="F11" s="285">
        <f>+'C) Costos Directos'!H203</f>
        <v>0</v>
      </c>
      <c r="G11" s="286">
        <f>+'D) Costos Indirectos'!$AP$15*(F11/$F$12)</f>
        <v>0</v>
      </c>
      <c r="H11" s="287">
        <f>+F11+G11</f>
        <v>0</v>
      </c>
      <c r="I11" s="288">
        <f t="shared" si="0"/>
        <v>0</v>
      </c>
      <c r="L11" s="74">
        <f t="shared" ref="L11" si="1">+G11/$G$12</f>
        <v>0</v>
      </c>
      <c r="N11" s="96"/>
    </row>
    <row r="12" spans="1:247" s="6" customFormat="1" ht="15.75" thickBot="1" x14ac:dyDescent="0.25">
      <c r="A12" s="289" t="s">
        <v>1</v>
      </c>
      <c r="B12" s="290">
        <f>SUM(B9:B11)</f>
        <v>7818100</v>
      </c>
      <c r="C12" s="290">
        <f t="shared" ref="C12:G12" si="2">SUM(C9:C11)</f>
        <v>130261000</v>
      </c>
      <c r="D12" s="290">
        <f t="shared" si="2"/>
        <v>1171000</v>
      </c>
      <c r="E12" s="290">
        <f t="shared" si="2"/>
        <v>139250100</v>
      </c>
      <c r="F12" s="290">
        <f t="shared" si="2"/>
        <v>116815325.52830002</v>
      </c>
      <c r="G12" s="290">
        <f t="shared" si="2"/>
        <v>26658421.801054269</v>
      </c>
      <c r="H12" s="290">
        <f>SUM(H9:H11)</f>
        <v>143473747.32935429</v>
      </c>
      <c r="I12" s="290">
        <f>SUM(I9:I11)</f>
        <v>-4223647.3293542787</v>
      </c>
      <c r="L12" s="75">
        <f>SUM(L9:L11)</f>
        <v>1</v>
      </c>
      <c r="N12" s="45"/>
      <c r="O12" s="25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3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46" t="s">
        <v>149</v>
      </c>
      <c r="B17" s="746"/>
      <c r="C17" s="746"/>
      <c r="D17" s="746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47" t="s">
        <v>113</v>
      </c>
      <c r="B19" s="749" t="s">
        <v>5</v>
      </c>
      <c r="C19" s="730" t="s">
        <v>2</v>
      </c>
      <c r="D19" s="732" t="s">
        <v>232</v>
      </c>
      <c r="E19" s="733"/>
      <c r="F19" s="733"/>
      <c r="G19" s="733"/>
      <c r="H19" s="734"/>
      <c r="I19" s="735" t="s">
        <v>229</v>
      </c>
      <c r="J19" s="736"/>
      <c r="K19" s="736"/>
      <c r="L19" s="736"/>
      <c r="M19" s="737"/>
      <c r="N19" s="740" t="s">
        <v>89</v>
      </c>
      <c r="O19" s="742" t="s">
        <v>90</v>
      </c>
      <c r="P19" s="738" t="s">
        <v>125</v>
      </c>
      <c r="Q19" s="744" t="s">
        <v>106</v>
      </c>
    </row>
    <row r="20" spans="1:247" s="16" customFormat="1" ht="39" thickBot="1" x14ac:dyDescent="0.25">
      <c r="A20" s="748"/>
      <c r="B20" s="750"/>
      <c r="C20" s="731"/>
      <c r="D20" s="549" t="s">
        <v>86</v>
      </c>
      <c r="E20" s="550" t="s">
        <v>138</v>
      </c>
      <c r="F20" s="550" t="s">
        <v>139</v>
      </c>
      <c r="G20" s="550" t="s">
        <v>87</v>
      </c>
      <c r="H20" s="551" t="s">
        <v>88</v>
      </c>
      <c r="I20" s="549" t="s">
        <v>86</v>
      </c>
      <c r="J20" s="550" t="s">
        <v>138</v>
      </c>
      <c r="K20" s="550" t="s">
        <v>139</v>
      </c>
      <c r="L20" s="550" t="s">
        <v>87</v>
      </c>
      <c r="M20" s="551" t="s">
        <v>88</v>
      </c>
      <c r="N20" s="741"/>
      <c r="O20" s="743"/>
      <c r="P20" s="739"/>
      <c r="Q20" s="745"/>
    </row>
    <row r="21" spans="1:247" ht="12.75" customHeight="1" x14ac:dyDescent="0.2">
      <c r="A21" s="717" t="str">
        <f>+'B) Reajuste Tarifas y Ocupación'!A12</f>
        <v>Jardín Infantil Pequeños Héroes</v>
      </c>
      <c r="B21" s="710" t="str">
        <f>+'B) Reajuste Tarifas y Ocupación'!B12</f>
        <v>Media jornada</v>
      </c>
      <c r="C21" s="260" t="s">
        <v>231</v>
      </c>
      <c r="D21" s="488">
        <f t="shared" ref="D21:F22" si="3">+I21</f>
        <v>70200</v>
      </c>
      <c r="E21" s="496">
        <f t="shared" si="3"/>
        <v>84300</v>
      </c>
      <c r="F21" s="496">
        <f t="shared" si="3"/>
        <v>84300</v>
      </c>
      <c r="G21" s="496">
        <f t="shared" ref="G21:H22" si="4">+L21</f>
        <v>120400</v>
      </c>
      <c r="H21" s="497">
        <f t="shared" si="4"/>
        <v>177100</v>
      </c>
      <c r="I21" s="488">
        <f>+'B) Reajuste Tarifas y Ocupación'!M12</f>
        <v>70200</v>
      </c>
      <c r="J21" s="496">
        <f>+'B) Reajuste Tarifas y Ocupación'!N12</f>
        <v>84300</v>
      </c>
      <c r="K21" s="496">
        <f>+'B) Reajuste Tarifas y Ocupación'!O12</f>
        <v>84300</v>
      </c>
      <c r="L21" s="496">
        <f>+'B) Reajuste Tarifas y Ocupación'!P12</f>
        <v>120400</v>
      </c>
      <c r="M21" s="497">
        <f>+'B) Reajuste Tarifas y Ocupación'!Q12</f>
        <v>177100</v>
      </c>
      <c r="N21" s="425"/>
      <c r="O21" s="261"/>
      <c r="P21" s="269">
        <f>+'B) Reajuste Tarifas y Ocupación'!C12</f>
        <v>70200</v>
      </c>
      <c r="Q21" s="708"/>
    </row>
    <row r="22" spans="1:247" x14ac:dyDescent="0.2">
      <c r="A22" s="718"/>
      <c r="B22" s="711"/>
      <c r="C22" s="258" t="s">
        <v>7</v>
      </c>
      <c r="D22" s="504">
        <f t="shared" si="3"/>
        <v>22</v>
      </c>
      <c r="E22" s="500">
        <f t="shared" si="3"/>
        <v>0</v>
      </c>
      <c r="F22" s="500">
        <f t="shared" si="3"/>
        <v>0</v>
      </c>
      <c r="G22" s="500">
        <f t="shared" si="4"/>
        <v>0</v>
      </c>
      <c r="H22" s="501">
        <f t="shared" si="4"/>
        <v>0</v>
      </c>
      <c r="I22" s="504">
        <f>+'B) Reajuste Tarifas y Ocupación'!C23</f>
        <v>22</v>
      </c>
      <c r="J22" s="500">
        <f>+'B) Reajuste Tarifas y Ocupación'!D23</f>
        <v>0</v>
      </c>
      <c r="K22" s="500">
        <f>+'B) Reajuste Tarifas y Ocupación'!E23</f>
        <v>0</v>
      </c>
      <c r="L22" s="500">
        <f>+'B) Reajuste Tarifas y Ocupación'!F23</f>
        <v>0</v>
      </c>
      <c r="M22" s="501">
        <f>+'B) Reajuste Tarifas y Ocupación'!G23</f>
        <v>0</v>
      </c>
      <c r="N22" s="543"/>
      <c r="O22" s="259"/>
      <c r="P22" s="270">
        <v>0</v>
      </c>
      <c r="Q22" s="709"/>
    </row>
    <row r="23" spans="1:247" ht="13.5" thickBot="1" x14ac:dyDescent="0.25">
      <c r="A23" s="718"/>
      <c r="B23" s="712"/>
      <c r="C23" s="262" t="s">
        <v>9</v>
      </c>
      <c r="D23" s="266">
        <f>D22*D21</f>
        <v>1544400</v>
      </c>
      <c r="E23" s="503">
        <f>E22*E21</f>
        <v>0</v>
      </c>
      <c r="F23" s="503">
        <f t="shared" ref="F23" si="5">F22*F21</f>
        <v>0</v>
      </c>
      <c r="G23" s="503">
        <f t="shared" ref="G23:H23" si="6">G22*G21</f>
        <v>0</v>
      </c>
      <c r="H23" s="267">
        <f t="shared" si="6"/>
        <v>0</v>
      </c>
      <c r="I23" s="552">
        <f>I22*I21*10</f>
        <v>15444000</v>
      </c>
      <c r="J23" s="553">
        <f t="shared" ref="J23:M23" si="7">J22*J21*10</f>
        <v>0</v>
      </c>
      <c r="K23" s="553">
        <f t="shared" ref="K23" si="8">K22*K21*10</f>
        <v>0</v>
      </c>
      <c r="L23" s="553">
        <f t="shared" si="7"/>
        <v>0</v>
      </c>
      <c r="M23" s="554">
        <f t="shared" si="7"/>
        <v>0</v>
      </c>
      <c r="N23" s="544">
        <f>SUM(D23:H23)</f>
        <v>1544400</v>
      </c>
      <c r="O23" s="264">
        <f>SUM(I23:M23)</f>
        <v>15444000</v>
      </c>
      <c r="P23" s="271">
        <f>P22*P21</f>
        <v>0</v>
      </c>
      <c r="Q23" s="272">
        <f>N23+O23+P23</f>
        <v>16988400</v>
      </c>
    </row>
    <row r="24" spans="1:247" x14ac:dyDescent="0.2">
      <c r="A24" s="718"/>
      <c r="B24" s="713" t="s">
        <v>208</v>
      </c>
      <c r="C24" s="260" t="s">
        <v>231</v>
      </c>
      <c r="D24" s="488">
        <f t="shared" ref="D24:D25" si="9">+I24</f>
        <v>100400</v>
      </c>
      <c r="E24" s="496">
        <f t="shared" ref="E24:E25" si="10">+J24</f>
        <v>120500</v>
      </c>
      <c r="F24" s="496">
        <f t="shared" ref="F24:F25" si="11">+K24</f>
        <v>120500</v>
      </c>
      <c r="G24" s="496">
        <f t="shared" ref="G24:G25" si="12">+L24</f>
        <v>163700</v>
      </c>
      <c r="H24" s="497">
        <f t="shared" ref="H24:H25" si="13">+M24</f>
        <v>255400</v>
      </c>
      <c r="I24" s="488">
        <f>+'B) Reajuste Tarifas y Ocupación'!M13</f>
        <v>100400</v>
      </c>
      <c r="J24" s="496">
        <f>+'B) Reajuste Tarifas y Ocupación'!N13</f>
        <v>120500</v>
      </c>
      <c r="K24" s="496">
        <f>+'B) Reajuste Tarifas y Ocupación'!O13</f>
        <v>120500</v>
      </c>
      <c r="L24" s="496">
        <f>+'B) Reajuste Tarifas y Ocupación'!P13</f>
        <v>163700</v>
      </c>
      <c r="M24" s="497">
        <f>+'B) Reajuste Tarifas y Ocupación'!Q13</f>
        <v>255400</v>
      </c>
      <c r="N24" s="425"/>
      <c r="O24" s="261"/>
      <c r="P24" s="269">
        <f>+'B) Reajuste Tarifas y Ocupación'!C13</f>
        <v>100400</v>
      </c>
      <c r="Q24" s="708"/>
    </row>
    <row r="25" spans="1:247" x14ac:dyDescent="0.2">
      <c r="A25" s="718"/>
      <c r="B25" s="714"/>
      <c r="C25" s="258" t="s">
        <v>7</v>
      </c>
      <c r="D25" s="504">
        <f t="shared" si="9"/>
        <v>3</v>
      </c>
      <c r="E25" s="500">
        <f t="shared" si="10"/>
        <v>0</v>
      </c>
      <c r="F25" s="500">
        <f t="shared" si="11"/>
        <v>0</v>
      </c>
      <c r="G25" s="500">
        <f t="shared" si="12"/>
        <v>0</v>
      </c>
      <c r="H25" s="501">
        <f t="shared" si="13"/>
        <v>0</v>
      </c>
      <c r="I25" s="504">
        <f>+'B) Reajuste Tarifas y Ocupación'!C24</f>
        <v>3</v>
      </c>
      <c r="J25" s="500">
        <f>+'B) Reajuste Tarifas y Ocupación'!D24</f>
        <v>0</v>
      </c>
      <c r="K25" s="500">
        <f>+'B) Reajuste Tarifas y Ocupación'!E24</f>
        <v>0</v>
      </c>
      <c r="L25" s="500">
        <f>+'B) Reajuste Tarifas y Ocupación'!F24</f>
        <v>0</v>
      </c>
      <c r="M25" s="501">
        <f>+'B) Reajuste Tarifas y Ocupación'!G24</f>
        <v>0</v>
      </c>
      <c r="N25" s="543"/>
      <c r="O25" s="259"/>
      <c r="P25" s="270">
        <v>0</v>
      </c>
      <c r="Q25" s="709"/>
    </row>
    <row r="26" spans="1:247" ht="13.5" thickBot="1" x14ac:dyDescent="0.25">
      <c r="A26" s="718"/>
      <c r="B26" s="715"/>
      <c r="C26" s="262" t="s">
        <v>9</v>
      </c>
      <c r="D26" s="266">
        <f>D25*D24</f>
        <v>301200</v>
      </c>
      <c r="E26" s="503">
        <f>E25*E24</f>
        <v>0</v>
      </c>
      <c r="F26" s="503">
        <f t="shared" ref="F26:H26" si="14">F25*F24</f>
        <v>0</v>
      </c>
      <c r="G26" s="503">
        <f t="shared" si="14"/>
        <v>0</v>
      </c>
      <c r="H26" s="267">
        <f t="shared" si="14"/>
        <v>0</v>
      </c>
      <c r="I26" s="266">
        <f>I25*I24*10</f>
        <v>3012000</v>
      </c>
      <c r="J26" s="503">
        <f t="shared" ref="J26:M26" si="15">J25*J24*10</f>
        <v>0</v>
      </c>
      <c r="K26" s="503">
        <f t="shared" si="15"/>
        <v>0</v>
      </c>
      <c r="L26" s="503">
        <f t="shared" si="15"/>
        <v>0</v>
      </c>
      <c r="M26" s="267">
        <f t="shared" si="15"/>
        <v>0</v>
      </c>
      <c r="N26" s="544">
        <f>SUM(D26:H26)</f>
        <v>301200</v>
      </c>
      <c r="O26" s="264">
        <f>SUM(I26:M26)</f>
        <v>3012000</v>
      </c>
      <c r="P26" s="271">
        <f>P25*P24</f>
        <v>0</v>
      </c>
      <c r="Q26" s="272">
        <f>N26+O26+P26</f>
        <v>3313200</v>
      </c>
    </row>
    <row r="27" spans="1:247" x14ac:dyDescent="0.2">
      <c r="A27" s="718"/>
      <c r="B27" s="710" t="str">
        <f>+'B) Reajuste Tarifas y Ocupación'!B14</f>
        <v>Jornada Completa</v>
      </c>
      <c r="C27" s="260" t="s">
        <v>231</v>
      </c>
      <c r="D27" s="488">
        <f t="shared" ref="D27:F28" si="16">+I27</f>
        <v>117100</v>
      </c>
      <c r="E27" s="496">
        <f t="shared" si="16"/>
        <v>140600</v>
      </c>
      <c r="F27" s="496">
        <f t="shared" si="16"/>
        <v>140600</v>
      </c>
      <c r="G27" s="496">
        <f t="shared" ref="G27:H28" si="17">+L27</f>
        <v>197000</v>
      </c>
      <c r="H27" s="497">
        <f t="shared" si="17"/>
        <v>313100</v>
      </c>
      <c r="I27" s="361">
        <f>+'B) Reajuste Tarifas y Ocupación'!M14</f>
        <v>117100</v>
      </c>
      <c r="J27" s="555">
        <f>+'B) Reajuste Tarifas y Ocupación'!N14</f>
        <v>140600</v>
      </c>
      <c r="K27" s="555">
        <f>+'B) Reajuste Tarifas y Ocupación'!O14</f>
        <v>140600</v>
      </c>
      <c r="L27" s="555">
        <f>+'B) Reajuste Tarifas y Ocupación'!P14</f>
        <v>197000</v>
      </c>
      <c r="M27" s="362">
        <f>+'B) Reajuste Tarifas y Ocupación'!Q14</f>
        <v>313100</v>
      </c>
      <c r="N27" s="425"/>
      <c r="O27" s="261"/>
      <c r="P27" s="269">
        <f>+'B) Reajuste Tarifas y Ocupación'!C14</f>
        <v>117100</v>
      </c>
      <c r="Q27" s="708"/>
    </row>
    <row r="28" spans="1:247" x14ac:dyDescent="0.2">
      <c r="A28" s="718"/>
      <c r="B28" s="711"/>
      <c r="C28" s="258" t="s">
        <v>7</v>
      </c>
      <c r="D28" s="504">
        <f t="shared" si="16"/>
        <v>45</v>
      </c>
      <c r="E28" s="500">
        <f t="shared" si="16"/>
        <v>0</v>
      </c>
      <c r="F28" s="500">
        <f t="shared" si="16"/>
        <v>5</v>
      </c>
      <c r="G28" s="500">
        <f t="shared" si="17"/>
        <v>0</v>
      </c>
      <c r="H28" s="501">
        <f t="shared" si="17"/>
        <v>0</v>
      </c>
      <c r="I28" s="504">
        <f>+'B) Reajuste Tarifas y Ocupación'!C25</f>
        <v>45</v>
      </c>
      <c r="J28" s="500">
        <f>+'B) Reajuste Tarifas y Ocupación'!D25</f>
        <v>0</v>
      </c>
      <c r="K28" s="500">
        <f>+'B) Reajuste Tarifas y Ocupación'!E25</f>
        <v>5</v>
      </c>
      <c r="L28" s="500">
        <f>+'B) Reajuste Tarifas y Ocupación'!F25</f>
        <v>0</v>
      </c>
      <c r="M28" s="501">
        <f>+'B) Reajuste Tarifas y Ocupación'!G25</f>
        <v>0</v>
      </c>
      <c r="N28" s="543"/>
      <c r="O28" s="259"/>
      <c r="P28" s="270">
        <v>10</v>
      </c>
      <c r="Q28" s="709"/>
    </row>
    <row r="29" spans="1:247" ht="13.5" thickBot="1" x14ac:dyDescent="0.25">
      <c r="A29" s="718"/>
      <c r="B29" s="712"/>
      <c r="C29" s="262" t="s">
        <v>9</v>
      </c>
      <c r="D29" s="266">
        <f t="shared" ref="D29:H29" si="18">D28*D27</f>
        <v>5269500</v>
      </c>
      <c r="E29" s="503">
        <f t="shared" si="18"/>
        <v>0</v>
      </c>
      <c r="F29" s="503">
        <f t="shared" ref="F29" si="19">F28*F27</f>
        <v>703000</v>
      </c>
      <c r="G29" s="503">
        <f t="shared" si="18"/>
        <v>0</v>
      </c>
      <c r="H29" s="267">
        <f t="shared" si="18"/>
        <v>0</v>
      </c>
      <c r="I29" s="266">
        <f t="shared" ref="I29:M29" si="20">I28*I27*10</f>
        <v>52695000</v>
      </c>
      <c r="J29" s="503">
        <f t="shared" si="20"/>
        <v>0</v>
      </c>
      <c r="K29" s="503">
        <f t="shared" ref="K29" si="21">K28*K27*10</f>
        <v>7030000</v>
      </c>
      <c r="L29" s="503">
        <f t="shared" si="20"/>
        <v>0</v>
      </c>
      <c r="M29" s="267">
        <f t="shared" si="20"/>
        <v>0</v>
      </c>
      <c r="N29" s="545">
        <f>SUM(D29:H29)</f>
        <v>5972500</v>
      </c>
      <c r="O29" s="291">
        <f>SUM(I29:M29)</f>
        <v>59725000</v>
      </c>
      <c r="P29" s="292">
        <f>P28*P27</f>
        <v>1171000</v>
      </c>
      <c r="Q29" s="293">
        <f>N29+O29+P29</f>
        <v>66868500</v>
      </c>
    </row>
    <row r="30" spans="1:247" s="10" customFormat="1" ht="15.75" thickBot="1" x14ac:dyDescent="0.25">
      <c r="A30" s="719"/>
      <c r="B30" s="716" t="s">
        <v>10</v>
      </c>
      <c r="C30" s="716"/>
      <c r="D30" s="363">
        <f>+D23+D29</f>
        <v>6813900</v>
      </c>
      <c r="E30" s="364">
        <f t="shared" ref="E30:G30" si="22">+E23+E29</f>
        <v>0</v>
      </c>
      <c r="F30" s="364">
        <f t="shared" si="22"/>
        <v>703000</v>
      </c>
      <c r="G30" s="364">
        <f t="shared" si="22"/>
        <v>0</v>
      </c>
      <c r="H30" s="365">
        <f>+H23+H29</f>
        <v>0</v>
      </c>
      <c r="I30" s="363">
        <f t="shared" ref="I30:L30" si="23">+I23+I29</f>
        <v>68139000</v>
      </c>
      <c r="J30" s="364">
        <f t="shared" si="23"/>
        <v>0</v>
      </c>
      <c r="K30" s="364">
        <f t="shared" si="23"/>
        <v>7030000</v>
      </c>
      <c r="L30" s="364">
        <f t="shared" si="23"/>
        <v>0</v>
      </c>
      <c r="M30" s="365">
        <f>+M23+M29</f>
        <v>0</v>
      </c>
      <c r="N30" s="546">
        <f t="shared" ref="N30:P30" si="24">+N23+N26+N29</f>
        <v>7818100</v>
      </c>
      <c r="O30" s="366">
        <f t="shared" si="24"/>
        <v>78181000</v>
      </c>
      <c r="P30" s="367">
        <f t="shared" si="24"/>
        <v>1171000</v>
      </c>
      <c r="Q30" s="368">
        <f>+Q23+Q26+Q29</f>
        <v>87170100</v>
      </c>
    </row>
    <row r="31" spans="1:247" s="10" customFormat="1" ht="12.75" customHeight="1" x14ac:dyDescent="0.2">
      <c r="A31" s="722" t="str">
        <f>+'B) Reajuste Tarifas y Ocupación'!A15</f>
        <v>Sala Cuna Pequeños Héroes</v>
      </c>
      <c r="B31" s="713" t="str">
        <f>+'B) Reajuste Tarifas y Ocupación'!B15</f>
        <v>Diurna</v>
      </c>
      <c r="C31" s="260" t="s">
        <v>231</v>
      </c>
      <c r="D31" s="559"/>
      <c r="E31" s="496">
        <f t="shared" ref="E31:G32" si="25">+J31</f>
        <v>372000</v>
      </c>
      <c r="F31" s="496">
        <f t="shared" si="25"/>
        <v>372000</v>
      </c>
      <c r="G31" s="496">
        <f t="shared" si="25"/>
        <v>387500</v>
      </c>
      <c r="H31" s="360">
        <f>+M31</f>
        <v>465000</v>
      </c>
      <c r="I31" s="488">
        <f>+'B) Reajuste Tarifas y Ocupación'!M15</f>
        <v>310000</v>
      </c>
      <c r="J31" s="496">
        <f>+'B) Reajuste Tarifas y Ocupación'!N15</f>
        <v>372000</v>
      </c>
      <c r="K31" s="496">
        <f>+'B) Reajuste Tarifas y Ocupación'!O15</f>
        <v>372000</v>
      </c>
      <c r="L31" s="496">
        <f>+'B) Reajuste Tarifas y Ocupación'!P15</f>
        <v>387500</v>
      </c>
      <c r="M31" s="497">
        <f>+'B) Reajuste Tarifas y Ocupación'!Q15</f>
        <v>465000</v>
      </c>
      <c r="N31" s="425"/>
      <c r="O31" s="261"/>
      <c r="P31" s="261"/>
      <c r="Q31" s="708"/>
    </row>
    <row r="32" spans="1:247" s="10" customFormat="1" ht="12.75" customHeight="1" x14ac:dyDescent="0.2">
      <c r="A32" s="723"/>
      <c r="B32" s="714"/>
      <c r="C32" s="498" t="s">
        <v>7</v>
      </c>
      <c r="D32" s="560"/>
      <c r="E32" s="500">
        <f t="shared" si="25"/>
        <v>0</v>
      </c>
      <c r="F32" s="500">
        <f t="shared" si="25"/>
        <v>0</v>
      </c>
      <c r="G32" s="500">
        <f t="shared" si="25"/>
        <v>0</v>
      </c>
      <c r="H32" s="561">
        <f t="shared" ref="H32" si="26">+M32</f>
        <v>0</v>
      </c>
      <c r="I32" s="504">
        <f>+'B) Reajuste Tarifas y Ocupación'!C26</f>
        <v>14</v>
      </c>
      <c r="J32" s="500">
        <f>+'B) Reajuste Tarifas y Ocupación'!D26</f>
        <v>0</v>
      </c>
      <c r="K32" s="500">
        <f>+'B) Reajuste Tarifas y Ocupación'!E26</f>
        <v>0</v>
      </c>
      <c r="L32" s="500">
        <f>+'B) Reajuste Tarifas y Ocupación'!F26</f>
        <v>0</v>
      </c>
      <c r="M32" s="501">
        <f>+'B) Reajuste Tarifas y Ocupación'!G26</f>
        <v>0</v>
      </c>
      <c r="N32" s="543"/>
      <c r="O32" s="259"/>
      <c r="P32" s="259"/>
      <c r="Q32" s="709"/>
    </row>
    <row r="33" spans="1:17" s="10" customFormat="1" ht="13.5" customHeight="1" thickBot="1" x14ac:dyDescent="0.25">
      <c r="A33" s="723"/>
      <c r="B33" s="715"/>
      <c r="C33" s="502" t="s">
        <v>9</v>
      </c>
      <c r="D33" s="266">
        <f>D32*D31</f>
        <v>0</v>
      </c>
      <c r="E33" s="503">
        <f>E32*E31</f>
        <v>0</v>
      </c>
      <c r="F33" s="503">
        <f t="shared" ref="F33:H33" si="27">F32*F31</f>
        <v>0</v>
      </c>
      <c r="G33" s="503">
        <f t="shared" si="27"/>
        <v>0</v>
      </c>
      <c r="H33" s="562">
        <f t="shared" si="27"/>
        <v>0</v>
      </c>
      <c r="I33" s="552">
        <f>I32*I31*12</f>
        <v>52080000</v>
      </c>
      <c r="J33" s="553">
        <f t="shared" ref="J33:M33" si="28">J32*J31*12</f>
        <v>0</v>
      </c>
      <c r="K33" s="553">
        <f t="shared" si="28"/>
        <v>0</v>
      </c>
      <c r="L33" s="553">
        <f t="shared" si="28"/>
        <v>0</v>
      </c>
      <c r="M33" s="554">
        <f t="shared" si="28"/>
        <v>0</v>
      </c>
      <c r="N33" s="544">
        <f>SUM(D33:H33)</f>
        <v>0</v>
      </c>
      <c r="O33" s="264">
        <f>SUM(I33:M33)</f>
        <v>52080000</v>
      </c>
      <c r="P33" s="271">
        <f>P32*P31</f>
        <v>0</v>
      </c>
      <c r="Q33" s="272">
        <f>N33+O33+P33</f>
        <v>52080000</v>
      </c>
    </row>
    <row r="34" spans="1:17" s="10" customFormat="1" ht="12.75" customHeight="1" x14ac:dyDescent="0.2">
      <c r="A34" s="723"/>
      <c r="B34" s="710" t="str">
        <f>+'B) Reajuste Tarifas y Ocupación'!B16</f>
        <v>Nocturna</v>
      </c>
      <c r="C34" s="260" t="s">
        <v>231</v>
      </c>
      <c r="D34" s="560"/>
      <c r="E34" s="499"/>
      <c r="F34" s="499"/>
      <c r="G34" s="499"/>
      <c r="H34" s="563"/>
      <c r="I34" s="559"/>
      <c r="J34" s="495"/>
      <c r="K34" s="495"/>
      <c r="L34" s="495"/>
      <c r="M34" s="506"/>
      <c r="N34" s="425"/>
      <c r="O34" s="261"/>
      <c r="P34" s="261"/>
      <c r="Q34" s="708"/>
    </row>
    <row r="35" spans="1:17" s="10" customFormat="1" ht="12.75" customHeight="1" x14ac:dyDescent="0.2">
      <c r="A35" s="723"/>
      <c r="B35" s="711"/>
      <c r="C35" s="258" t="s">
        <v>7</v>
      </c>
      <c r="D35" s="560"/>
      <c r="E35" s="672">
        <f t="shared" ref="E35" si="29">+J35</f>
        <v>0</v>
      </c>
      <c r="F35" s="672">
        <f t="shared" ref="F35" si="30">+K35</f>
        <v>0</v>
      </c>
      <c r="G35" s="672">
        <f t="shared" ref="G35" si="31">+L35</f>
        <v>0</v>
      </c>
      <c r="H35" s="673">
        <f t="shared" ref="H35" si="32">+M35</f>
        <v>0</v>
      </c>
      <c r="I35" s="674">
        <f>+'B) Reajuste Tarifas y Ocupación'!C27</f>
        <v>0</v>
      </c>
      <c r="J35" s="672">
        <f>+'B) Reajuste Tarifas y Ocupación'!D27</f>
        <v>0</v>
      </c>
      <c r="K35" s="672">
        <f>+'B) Reajuste Tarifas y Ocupación'!E27</f>
        <v>0</v>
      </c>
      <c r="L35" s="672">
        <f>+'B) Reajuste Tarifas y Ocupación'!F27</f>
        <v>0</v>
      </c>
      <c r="M35" s="675">
        <f>+'B) Reajuste Tarifas y Ocupación'!G27</f>
        <v>0</v>
      </c>
      <c r="N35" s="543"/>
      <c r="O35" s="259"/>
      <c r="P35" s="259"/>
      <c r="Q35" s="709"/>
    </row>
    <row r="36" spans="1:17" s="10" customFormat="1" ht="13.5" customHeight="1" thickBot="1" x14ac:dyDescent="0.25">
      <c r="A36" s="723"/>
      <c r="B36" s="712"/>
      <c r="C36" s="262" t="s">
        <v>9</v>
      </c>
      <c r="D36" s="266">
        <f>D35*D34</f>
        <v>0</v>
      </c>
      <c r="E36" s="503">
        <f>E35*E34</f>
        <v>0</v>
      </c>
      <c r="F36" s="503">
        <f t="shared" ref="F36:G36" si="33">F35*F34</f>
        <v>0</v>
      </c>
      <c r="G36" s="503">
        <f t="shared" si="33"/>
        <v>0</v>
      </c>
      <c r="H36" s="562">
        <f>H35*H34</f>
        <v>0</v>
      </c>
      <c r="I36" s="552">
        <f>I35*I34*12</f>
        <v>0</v>
      </c>
      <c r="J36" s="553">
        <f t="shared" ref="J36" si="34">J35*J34*12</f>
        <v>0</v>
      </c>
      <c r="K36" s="553">
        <f t="shared" ref="K36" si="35">K35*K34*12</f>
        <v>0</v>
      </c>
      <c r="L36" s="553">
        <f t="shared" ref="L36" si="36">L35*L34*12</f>
        <v>0</v>
      </c>
      <c r="M36" s="554">
        <f t="shared" ref="M36" si="37">M35*M34*12</f>
        <v>0</v>
      </c>
      <c r="N36" s="544">
        <f>SUM(D36:H36)</f>
        <v>0</v>
      </c>
      <c r="O36" s="264">
        <f>SUM(I36:M36)</f>
        <v>0</v>
      </c>
      <c r="P36" s="271">
        <f>P35*P34</f>
        <v>0</v>
      </c>
      <c r="Q36" s="272">
        <f>N36+O36+P36</f>
        <v>0</v>
      </c>
    </row>
    <row r="37" spans="1:17" s="10" customFormat="1" ht="12.75" customHeight="1" x14ac:dyDescent="0.2">
      <c r="A37" s="723"/>
      <c r="B37" s="710" t="str">
        <f>+'B) Reajuste Tarifas y Ocupación'!B17</f>
        <v>Media Jornada</v>
      </c>
      <c r="C37" s="260" t="s">
        <v>231</v>
      </c>
      <c r="D37" s="560"/>
      <c r="E37" s="496">
        <f t="shared" ref="E37:E38" si="38">+J37</f>
        <v>0</v>
      </c>
      <c r="F37" s="496">
        <f t="shared" ref="F37:F38" si="39">+K37</f>
        <v>0</v>
      </c>
      <c r="G37" s="496">
        <f t="shared" ref="G37:G38" si="40">+L37</f>
        <v>0</v>
      </c>
      <c r="H37" s="360">
        <f>+M37</f>
        <v>0</v>
      </c>
      <c r="I37" s="556">
        <f>+'B) Reajuste Tarifas y Ocupación'!M17</f>
        <v>0</v>
      </c>
      <c r="J37" s="564">
        <f>+'B) Reajuste Tarifas y Ocupación'!N17</f>
        <v>0</v>
      </c>
      <c r="K37" s="564">
        <f>+'B) Reajuste Tarifas y Ocupación'!O17</f>
        <v>0</v>
      </c>
      <c r="L37" s="564">
        <f>+'B) Reajuste Tarifas y Ocupación'!P17</f>
        <v>0</v>
      </c>
      <c r="M37" s="565">
        <f>+'B) Reajuste Tarifas y Ocupación'!Q17</f>
        <v>0</v>
      </c>
      <c r="N37" s="425"/>
      <c r="O37" s="427"/>
      <c r="P37" s="427"/>
      <c r="Q37" s="708"/>
    </row>
    <row r="38" spans="1:17" s="10" customFormat="1" ht="12.75" customHeight="1" x14ac:dyDescent="0.2">
      <c r="A38" s="723"/>
      <c r="B38" s="711"/>
      <c r="C38" s="258" t="s">
        <v>7</v>
      </c>
      <c r="D38" s="560"/>
      <c r="E38" s="500">
        <f t="shared" si="38"/>
        <v>0</v>
      </c>
      <c r="F38" s="500">
        <f t="shared" si="39"/>
        <v>0</v>
      </c>
      <c r="G38" s="500">
        <f t="shared" si="40"/>
        <v>0</v>
      </c>
      <c r="H38" s="561">
        <f t="shared" ref="H38" si="41">+M38</f>
        <v>0</v>
      </c>
      <c r="I38" s="504">
        <f>+'B) Reajuste Tarifas y Ocupación'!C28</f>
        <v>0</v>
      </c>
      <c r="J38" s="500">
        <f>+'B) Reajuste Tarifas y Ocupación'!D28</f>
        <v>0</v>
      </c>
      <c r="K38" s="500">
        <f>+'B) Reajuste Tarifas y Ocupación'!E28</f>
        <v>0</v>
      </c>
      <c r="L38" s="500">
        <f>+'B) Reajuste Tarifas y Ocupación'!F28</f>
        <v>0</v>
      </c>
      <c r="M38" s="501">
        <f>+'B) Reajuste Tarifas y Ocupación'!G28</f>
        <v>0</v>
      </c>
      <c r="N38" s="543"/>
      <c r="O38" s="429"/>
      <c r="P38" s="429"/>
      <c r="Q38" s="709"/>
    </row>
    <row r="39" spans="1:17" s="10" customFormat="1" ht="13.5" customHeight="1" thickBot="1" x14ac:dyDescent="0.25">
      <c r="A39" s="723"/>
      <c r="B39" s="712"/>
      <c r="C39" s="262" t="s">
        <v>9</v>
      </c>
      <c r="D39" s="266">
        <f>D38*D37</f>
        <v>0</v>
      </c>
      <c r="E39" s="503">
        <f>E38*E37</f>
        <v>0</v>
      </c>
      <c r="F39" s="503">
        <f t="shared" ref="F39:H39" si="42">F38*F37</f>
        <v>0</v>
      </c>
      <c r="G39" s="503">
        <f t="shared" si="42"/>
        <v>0</v>
      </c>
      <c r="H39" s="562">
        <f t="shared" si="42"/>
        <v>0</v>
      </c>
      <c r="I39" s="266">
        <f>I38*I37*12</f>
        <v>0</v>
      </c>
      <c r="J39" s="503">
        <f t="shared" ref="J39" si="43">J38*J37*12</f>
        <v>0</v>
      </c>
      <c r="K39" s="503">
        <f t="shared" ref="K39" si="44">K38*K37*12</f>
        <v>0</v>
      </c>
      <c r="L39" s="503">
        <f t="shared" ref="L39" si="45">L38*L37*12</f>
        <v>0</v>
      </c>
      <c r="M39" s="267">
        <f t="shared" ref="M39" si="46">M38*M37*12</f>
        <v>0</v>
      </c>
      <c r="N39" s="544">
        <f>SUM(D39:H39)</f>
        <v>0</v>
      </c>
      <c r="O39" s="264">
        <f>SUM(I39:M39)</f>
        <v>0</v>
      </c>
      <c r="P39" s="263">
        <f>P38*P37</f>
        <v>0</v>
      </c>
      <c r="Q39" s="428">
        <f>N39+O39+P39</f>
        <v>0</v>
      </c>
    </row>
    <row r="40" spans="1:17" s="10" customFormat="1" ht="15.75" customHeight="1" thickBot="1" x14ac:dyDescent="0.25">
      <c r="A40" s="724"/>
      <c r="B40" s="725" t="s">
        <v>10</v>
      </c>
      <c r="C40" s="725"/>
      <c r="D40" s="363">
        <f>+D33+D39+D36</f>
        <v>0</v>
      </c>
      <c r="E40" s="363">
        <f t="shared" ref="E40:P40" si="47">+E33+E39+E36</f>
        <v>0</v>
      </c>
      <c r="F40" s="363">
        <f>+F33+F39+F36</f>
        <v>0</v>
      </c>
      <c r="G40" s="363">
        <f t="shared" si="47"/>
        <v>0</v>
      </c>
      <c r="H40" s="557">
        <f t="shared" si="47"/>
        <v>0</v>
      </c>
      <c r="I40" s="363">
        <f>+I33+I39+I36</f>
        <v>52080000</v>
      </c>
      <c r="J40" s="363">
        <f>+J33+J39+J36</f>
        <v>0</v>
      </c>
      <c r="K40" s="363">
        <f t="shared" si="47"/>
        <v>0</v>
      </c>
      <c r="L40" s="363">
        <f t="shared" si="47"/>
        <v>0</v>
      </c>
      <c r="M40" s="557">
        <f>+M33+M39+M36</f>
        <v>0</v>
      </c>
      <c r="N40" s="547">
        <f t="shared" si="47"/>
        <v>0</v>
      </c>
      <c r="O40" s="363">
        <f t="shared" si="47"/>
        <v>52080000</v>
      </c>
      <c r="P40" s="363">
        <f t="shared" si="47"/>
        <v>0</v>
      </c>
      <c r="Q40" s="363">
        <f>+Q33+Q39+Q36</f>
        <v>52080000</v>
      </c>
    </row>
    <row r="41" spans="1:17" ht="15" customHeight="1" thickBot="1" x14ac:dyDescent="0.25">
      <c r="A41" s="720" t="s">
        <v>8</v>
      </c>
      <c r="B41" s="721"/>
      <c r="C41" s="721"/>
      <c r="D41" s="369">
        <f>+D30+D40</f>
        <v>6813900</v>
      </c>
      <c r="E41" s="369">
        <f t="shared" ref="E41:P41" si="48">+E30+E40</f>
        <v>0</v>
      </c>
      <c r="F41" s="369">
        <f t="shared" si="48"/>
        <v>703000</v>
      </c>
      <c r="G41" s="369">
        <f t="shared" si="48"/>
        <v>0</v>
      </c>
      <c r="H41" s="558">
        <f t="shared" si="48"/>
        <v>0</v>
      </c>
      <c r="I41" s="369">
        <f t="shared" si="48"/>
        <v>120219000</v>
      </c>
      <c r="J41" s="369">
        <f t="shared" si="48"/>
        <v>0</v>
      </c>
      <c r="K41" s="369">
        <f t="shared" si="48"/>
        <v>7030000</v>
      </c>
      <c r="L41" s="369">
        <f t="shared" si="48"/>
        <v>0</v>
      </c>
      <c r="M41" s="558">
        <f t="shared" si="48"/>
        <v>0</v>
      </c>
      <c r="N41" s="548">
        <f t="shared" si="48"/>
        <v>7818100</v>
      </c>
      <c r="O41" s="369">
        <f>+O30+O40</f>
        <v>130261000</v>
      </c>
      <c r="P41" s="369">
        <f t="shared" si="48"/>
        <v>1171000</v>
      </c>
      <c r="Q41" s="369">
        <f>+Q30+Q40</f>
        <v>139250100</v>
      </c>
    </row>
  </sheetData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2" type="noConversion"/>
  <conditionalFormatting sqref="D14:N16 C13:N13 E17:N17 B9:I9 B12:I12 B10:C11 E10:I11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2:H22 D21:H21 J21 D27:Q27 I23:Q23 J22:O22 L21:Q21 Q22 D29:Q29 D28:O28 Q28 D30:M30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abSelected="1" topLeftCell="A8" zoomScale="80" zoomScaleNormal="80" workbookViewId="0">
      <selection activeCell="M22" sqref="M22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202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195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26" t="s">
        <v>0</v>
      </c>
      <c r="D5" s="786"/>
      <c r="E5" s="98"/>
      <c r="F5" s="757" t="s">
        <v>246</v>
      </c>
      <c r="G5" s="758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98"/>
      <c r="D6" s="98"/>
      <c r="E6" s="98"/>
      <c r="F6" s="101"/>
      <c r="G6" s="101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98"/>
      <c r="D7" s="98"/>
      <c r="E7" s="98"/>
      <c r="F7" s="101"/>
      <c r="G7" s="101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67" t="s">
        <v>150</v>
      </c>
      <c r="B8" s="767"/>
      <c r="C8" s="767"/>
      <c r="D8" s="767"/>
      <c r="E8" s="99"/>
      <c r="F8" s="101"/>
      <c r="G8" s="101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68" t="s">
        <v>135</v>
      </c>
      <c r="B10" s="762" t="s">
        <v>5</v>
      </c>
      <c r="C10" s="764" t="s">
        <v>140</v>
      </c>
      <c r="D10" s="765"/>
      <c r="E10" s="765"/>
      <c r="F10" s="765"/>
      <c r="G10" s="766"/>
      <c r="H10" s="780" t="s">
        <v>108</v>
      </c>
      <c r="I10" s="781"/>
      <c r="J10" s="781"/>
      <c r="K10" s="781"/>
      <c r="L10" s="782"/>
      <c r="M10" s="777" t="s">
        <v>230</v>
      </c>
      <c r="N10" s="778"/>
      <c r="O10" s="778"/>
      <c r="P10" s="778"/>
      <c r="Q10" s="779"/>
      <c r="R10" s="17"/>
    </row>
    <row r="11" spans="1:256" ht="64.5" thickBot="1" x14ac:dyDescent="0.25">
      <c r="A11" s="769"/>
      <c r="B11" s="763"/>
      <c r="C11" s="84" t="s">
        <v>86</v>
      </c>
      <c r="D11" s="85" t="s">
        <v>138</v>
      </c>
      <c r="E11" s="85" t="s">
        <v>139</v>
      </c>
      <c r="F11" s="85" t="s">
        <v>87</v>
      </c>
      <c r="G11" s="645" t="s">
        <v>88</v>
      </c>
      <c r="H11" s="649" t="s">
        <v>86</v>
      </c>
      <c r="I11" s="650" t="s">
        <v>138</v>
      </c>
      <c r="J11" s="650" t="s">
        <v>139</v>
      </c>
      <c r="K11" s="651" t="s">
        <v>87</v>
      </c>
      <c r="L11" s="652" t="s">
        <v>88</v>
      </c>
      <c r="M11" s="87" t="s">
        <v>86</v>
      </c>
      <c r="N11" s="88" t="s">
        <v>138</v>
      </c>
      <c r="O11" s="88" t="s">
        <v>139</v>
      </c>
      <c r="P11" s="88" t="s">
        <v>87</v>
      </c>
      <c r="Q11" s="89" t="s">
        <v>88</v>
      </c>
      <c r="R11" s="17"/>
    </row>
    <row r="12" spans="1:256" ht="13.5" customHeight="1" x14ac:dyDescent="0.2">
      <c r="A12" s="783" t="s">
        <v>237</v>
      </c>
      <c r="B12" s="160" t="s">
        <v>126</v>
      </c>
      <c r="C12" s="489">
        <v>70200</v>
      </c>
      <c r="D12" s="489">
        <v>84300</v>
      </c>
      <c r="E12" s="489">
        <v>84300</v>
      </c>
      <c r="F12" s="489">
        <v>120400</v>
      </c>
      <c r="G12" s="490">
        <v>177100</v>
      </c>
      <c r="H12" s="653">
        <v>0</v>
      </c>
      <c r="I12" s="654">
        <f>+H12</f>
        <v>0</v>
      </c>
      <c r="J12" s="654">
        <f>+H12</f>
        <v>0</v>
      </c>
      <c r="K12" s="654">
        <f>+H12</f>
        <v>0</v>
      </c>
      <c r="L12" s="655">
        <f>+H12</f>
        <v>0</v>
      </c>
      <c r="M12" s="90">
        <f>CEILING(C12*(1+H12),100)</f>
        <v>70200</v>
      </c>
      <c r="N12" s="302">
        <f>+CEILING(C12*(1.2)*(1+I12),100)</f>
        <v>84300</v>
      </c>
      <c r="O12" s="302">
        <f>+CEILING(C12*(1.2)*(1+J12),100)</f>
        <v>84300</v>
      </c>
      <c r="P12" s="302">
        <f>+CEILING(F12*(1+K12),100)</f>
        <v>120400</v>
      </c>
      <c r="Q12" s="251">
        <f>+CEILING(G12*(1+L12),100)</f>
        <v>177100</v>
      </c>
      <c r="R12" s="67"/>
    </row>
    <row r="13" spans="1:256" ht="13.5" customHeight="1" x14ac:dyDescent="0.2">
      <c r="A13" s="784"/>
      <c r="B13" s="255" t="s">
        <v>208</v>
      </c>
      <c r="C13" s="491">
        <v>100400</v>
      </c>
      <c r="D13" s="491">
        <v>120500</v>
      </c>
      <c r="E13" s="491">
        <v>120500</v>
      </c>
      <c r="F13" s="491">
        <v>163700</v>
      </c>
      <c r="G13" s="492">
        <v>255400</v>
      </c>
      <c r="H13" s="656">
        <v>0</v>
      </c>
      <c r="I13" s="657">
        <f>+H13</f>
        <v>0</v>
      </c>
      <c r="J13" s="657">
        <f>+H13</f>
        <v>0</v>
      </c>
      <c r="K13" s="657">
        <f>+H13</f>
        <v>0</v>
      </c>
      <c r="L13" s="658">
        <f>+H13</f>
        <v>0</v>
      </c>
      <c r="M13" s="303">
        <f>CEILING(C13*(1+H13),100)</f>
        <v>100400</v>
      </c>
      <c r="N13" s="301">
        <f>+CEILING(C13*(1.2)*(1+I13),100)</f>
        <v>120500</v>
      </c>
      <c r="O13" s="301">
        <f>+CEILING(C13*(1.2)*(1+J13),100)</f>
        <v>120500</v>
      </c>
      <c r="P13" s="301">
        <f>+CEILING(F13*(1+K13),100)</f>
        <v>163700</v>
      </c>
      <c r="Q13" s="304">
        <f>+CEILING(G13*(1+L13),100)</f>
        <v>255400</v>
      </c>
      <c r="R13" s="67"/>
    </row>
    <row r="14" spans="1:256" ht="13.5" customHeight="1" thickBot="1" x14ac:dyDescent="0.25">
      <c r="A14" s="785"/>
      <c r="B14" s="161" t="s">
        <v>209</v>
      </c>
      <c r="C14" s="493">
        <v>117100</v>
      </c>
      <c r="D14" s="493">
        <v>140500</v>
      </c>
      <c r="E14" s="493">
        <v>140500</v>
      </c>
      <c r="F14" s="493">
        <v>197000</v>
      </c>
      <c r="G14" s="494">
        <v>313100</v>
      </c>
      <c r="H14" s="300">
        <v>0</v>
      </c>
      <c r="I14" s="659">
        <f t="shared" ref="I14" si="0">+H14</f>
        <v>0</v>
      </c>
      <c r="J14" s="659">
        <f t="shared" ref="J14" si="1">+H14</f>
        <v>0</v>
      </c>
      <c r="K14" s="659">
        <f t="shared" ref="K14" si="2">+H14</f>
        <v>0</v>
      </c>
      <c r="L14" s="660">
        <f t="shared" ref="L14" si="3">+H14</f>
        <v>0</v>
      </c>
      <c r="M14" s="419">
        <f t="shared" ref="M14" si="4">CEILING(C14*(1+H14),100)</f>
        <v>117100</v>
      </c>
      <c r="N14" s="418">
        <f>+CEILING(C14*(1.2)*(1+I14),100)</f>
        <v>140600</v>
      </c>
      <c r="O14" s="418">
        <f t="shared" ref="O14" si="5">+CEILING(C14*(1.2)*(1+J14),100)</f>
        <v>140600</v>
      </c>
      <c r="P14" s="418">
        <f t="shared" ref="P14" si="6">+CEILING(F14*(1+K14),100)</f>
        <v>197000</v>
      </c>
      <c r="Q14" s="420">
        <f t="shared" ref="Q14" si="7">+CEILING(G14*(1+L14),100)</f>
        <v>313100</v>
      </c>
    </row>
    <row r="15" spans="1:256" ht="12.75" customHeight="1" x14ac:dyDescent="0.2">
      <c r="A15" s="774" t="s">
        <v>238</v>
      </c>
      <c r="B15" s="505" t="s">
        <v>227</v>
      </c>
      <c r="C15" s="495"/>
      <c r="D15" s="495"/>
      <c r="E15" s="495"/>
      <c r="F15" s="495"/>
      <c r="G15" s="646"/>
      <c r="H15" s="559"/>
      <c r="I15" s="495"/>
      <c r="J15" s="495"/>
      <c r="K15" s="495"/>
      <c r="L15" s="506"/>
      <c r="M15" s="693">
        <v>310000</v>
      </c>
      <c r="N15" s="694">
        <f>+M15*1.2</f>
        <v>372000</v>
      </c>
      <c r="O15" s="694">
        <f>+M15*1.2</f>
        <v>372000</v>
      </c>
      <c r="P15" s="694">
        <f>+M15*1.25</f>
        <v>387500</v>
      </c>
      <c r="Q15" s="695">
        <f>+M15*1.5</f>
        <v>465000</v>
      </c>
      <c r="R15" s="42"/>
    </row>
    <row r="16" spans="1:256" x14ac:dyDescent="0.2">
      <c r="A16" s="775"/>
      <c r="B16" s="255" t="s">
        <v>226</v>
      </c>
      <c r="C16" s="499"/>
      <c r="D16" s="499"/>
      <c r="E16" s="499"/>
      <c r="F16" s="499"/>
      <c r="G16" s="647"/>
      <c r="H16" s="560"/>
      <c r="I16" s="499"/>
      <c r="J16" s="499"/>
      <c r="K16" s="499"/>
      <c r="L16" s="507"/>
      <c r="M16" s="696"/>
      <c r="N16" s="697"/>
      <c r="O16" s="697"/>
      <c r="P16" s="697"/>
      <c r="Q16" s="698"/>
    </row>
    <row r="17" spans="1:17" ht="13.5" thickBot="1" x14ac:dyDescent="0.25">
      <c r="A17" s="776"/>
      <c r="B17" s="508" t="s">
        <v>225</v>
      </c>
      <c r="C17" s="509"/>
      <c r="D17" s="509"/>
      <c r="E17" s="509"/>
      <c r="F17" s="509"/>
      <c r="G17" s="648"/>
      <c r="H17" s="661"/>
      <c r="I17" s="509"/>
      <c r="J17" s="509"/>
      <c r="K17" s="509"/>
      <c r="L17" s="510"/>
      <c r="M17" s="699">
        <v>0</v>
      </c>
      <c r="N17" s="700">
        <f>+CEILING(M17*(1.2),100)</f>
        <v>0</v>
      </c>
      <c r="O17" s="700">
        <f>+CEILING(M17*(1.2),100)</f>
        <v>0</v>
      </c>
      <c r="P17" s="700">
        <f>+CEILING(M17*(1.25),100)</f>
        <v>0</v>
      </c>
      <c r="Q17" s="701">
        <f>+CEILING(M17*(1.3),100)</f>
        <v>0</v>
      </c>
    </row>
    <row r="18" spans="1:17" x14ac:dyDescent="0.2">
      <c r="D18" s="162"/>
    </row>
    <row r="19" spans="1:17" ht="15.75" x14ac:dyDescent="0.2">
      <c r="A19" s="767" t="s">
        <v>151</v>
      </c>
      <c r="B19" s="767"/>
      <c r="C19" s="767"/>
      <c r="D19" s="767"/>
      <c r="E19" s="767"/>
      <c r="F19" s="767"/>
      <c r="G19" s="14"/>
      <c r="H19" s="14"/>
    </row>
    <row r="20" spans="1:17" ht="13.5" thickBot="1" x14ac:dyDescent="0.25"/>
    <row r="21" spans="1:17" ht="16.5" thickBot="1" x14ac:dyDescent="0.25">
      <c r="A21" s="772" t="s">
        <v>135</v>
      </c>
      <c r="B21" s="770" t="s">
        <v>5</v>
      </c>
      <c r="C21" s="759" t="s">
        <v>228</v>
      </c>
      <c r="D21" s="760"/>
      <c r="E21" s="760"/>
      <c r="F21" s="760"/>
      <c r="G21" s="760"/>
      <c r="H21" s="761"/>
    </row>
    <row r="22" spans="1:17" ht="64.5" thickBot="1" x14ac:dyDescent="0.25">
      <c r="A22" s="773"/>
      <c r="B22" s="771"/>
      <c r="C22" s="91" t="s">
        <v>86</v>
      </c>
      <c r="D22" s="92" t="s">
        <v>138</v>
      </c>
      <c r="E22" s="92" t="s">
        <v>139</v>
      </c>
      <c r="F22" s="92" t="s">
        <v>87</v>
      </c>
      <c r="G22" s="93" t="s">
        <v>88</v>
      </c>
      <c r="H22" s="94" t="s">
        <v>134</v>
      </c>
    </row>
    <row r="23" spans="1:17" ht="20.100000000000001" customHeight="1" x14ac:dyDescent="0.2">
      <c r="A23" s="754" t="str">
        <f>+A12</f>
        <v>Jardín Infantil Pequeños Héroes</v>
      </c>
      <c r="B23" s="297" t="str">
        <f>+B12</f>
        <v>Media jornada</v>
      </c>
      <c r="C23" s="294">
        <v>22</v>
      </c>
      <c r="D23" s="156"/>
      <c r="E23" s="156"/>
      <c r="F23" s="156"/>
      <c r="G23" s="156"/>
      <c r="H23" s="158">
        <f>SUM(C23:G23)</f>
        <v>22</v>
      </c>
    </row>
    <row r="24" spans="1:17" ht="20.100000000000001" customHeight="1" x14ac:dyDescent="0.2">
      <c r="A24" s="755"/>
      <c r="B24" s="298" t="str">
        <f t="shared" ref="B24:B28" si="8">+B13</f>
        <v>Media jornada Extendida</v>
      </c>
      <c r="C24" s="295">
        <v>3</v>
      </c>
      <c r="D24" s="256"/>
      <c r="E24" s="256"/>
      <c r="F24" s="256"/>
      <c r="G24" s="256"/>
      <c r="H24" s="257">
        <f>SUM(C24:G24)</f>
        <v>3</v>
      </c>
    </row>
    <row r="25" spans="1:17" ht="20.100000000000001" customHeight="1" thickBot="1" x14ac:dyDescent="0.25">
      <c r="A25" s="756"/>
      <c r="B25" s="423" t="str">
        <f t="shared" si="8"/>
        <v>Jornada Completa</v>
      </c>
      <c r="C25" s="296">
        <v>45</v>
      </c>
      <c r="D25" s="157"/>
      <c r="E25" s="157">
        <v>5</v>
      </c>
      <c r="F25" s="157"/>
      <c r="G25" s="157"/>
      <c r="H25" s="159">
        <f t="shared" ref="H25" si="9">SUM(C25:G25)</f>
        <v>50</v>
      </c>
    </row>
    <row r="26" spans="1:17" ht="19.5" customHeight="1" x14ac:dyDescent="0.2">
      <c r="A26" s="751" t="str">
        <f>+A15</f>
        <v>Sala Cuna Pequeños Héroes</v>
      </c>
      <c r="B26" s="297" t="str">
        <f t="shared" si="8"/>
        <v>Diurna</v>
      </c>
      <c r="C26" s="294">
        <v>14</v>
      </c>
      <c r="D26" s="156"/>
      <c r="E26" s="156"/>
      <c r="F26" s="156"/>
      <c r="G26" s="156"/>
      <c r="H26" s="421">
        <f>SUM(C26:G26)</f>
        <v>14</v>
      </c>
    </row>
    <row r="27" spans="1:17" ht="19.5" customHeight="1" x14ac:dyDescent="0.2">
      <c r="A27" s="752"/>
      <c r="B27" s="641" t="str">
        <f t="shared" si="8"/>
        <v>Nocturna</v>
      </c>
      <c r="C27" s="642"/>
      <c r="D27" s="643"/>
      <c r="E27" s="643"/>
      <c r="F27" s="643"/>
      <c r="G27" s="643"/>
      <c r="H27" s="644"/>
    </row>
    <row r="28" spans="1:17" ht="19.5" customHeight="1" thickBot="1" x14ac:dyDescent="0.25">
      <c r="A28" s="753"/>
      <c r="B28" s="299" t="str">
        <f t="shared" si="8"/>
        <v>Media Jornada</v>
      </c>
      <c r="C28" s="296"/>
      <c r="D28" s="157"/>
      <c r="E28" s="157"/>
      <c r="F28" s="157"/>
      <c r="G28" s="157"/>
      <c r="H28" s="422">
        <f t="shared" ref="H28" si="10">SUM(C28:G28)</f>
        <v>0</v>
      </c>
    </row>
  </sheetData>
  <mergeCells count="16">
    <mergeCell ref="M10:Q10"/>
    <mergeCell ref="A19:F19"/>
    <mergeCell ref="H10:L10"/>
    <mergeCell ref="A12:A14"/>
    <mergeCell ref="C5:D5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opLeftCell="C28" zoomScale="80" zoomScaleNormal="80" workbookViewId="0">
      <selection activeCell="M24" sqref="M24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4.42578125" style="4" bestFit="1" customWidth="1"/>
    <col min="11" max="11" width="1.85546875" style="4" customWidth="1"/>
    <col min="12" max="12" width="92.85546875" style="4" bestFit="1" customWidth="1"/>
    <col min="13" max="13" width="13.7109375" style="438" customWidth="1"/>
    <col min="14" max="14" width="12.85546875" style="438" bestFit="1" customWidth="1"/>
    <col min="15" max="15" width="11.42578125" style="438"/>
    <col min="16" max="16384" width="11.42578125" style="4"/>
  </cols>
  <sheetData>
    <row r="1" spans="1:10" x14ac:dyDescent="0.2">
      <c r="C1" s="41"/>
      <c r="D1" s="41" t="s">
        <v>203</v>
      </c>
      <c r="E1" s="41"/>
      <c r="F1" s="41"/>
      <c r="G1" s="41"/>
      <c r="H1" s="41"/>
    </row>
    <row r="2" spans="1:10" x14ac:dyDescent="0.2">
      <c r="C2" s="41"/>
      <c r="D2" s="41" t="s">
        <v>211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38" t="s">
        <v>0</v>
      </c>
      <c r="D4" s="800" t="s">
        <v>246</v>
      </c>
      <c r="E4" s="801"/>
      <c r="F4" s="41"/>
      <c r="G4" s="41"/>
      <c r="H4" s="41"/>
    </row>
    <row r="5" spans="1:10" x14ac:dyDescent="0.2">
      <c r="B5" s="41"/>
      <c r="C5" s="239"/>
      <c r="D5" s="41"/>
      <c r="E5" s="41"/>
      <c r="F5" s="41"/>
      <c r="G5" s="41"/>
      <c r="H5" s="41"/>
    </row>
    <row r="6" spans="1:10" x14ac:dyDescent="0.2">
      <c r="B6" s="41"/>
      <c r="C6" s="239"/>
      <c r="D6" s="41"/>
      <c r="E6" s="41"/>
      <c r="F6" s="41"/>
      <c r="G6" s="41"/>
      <c r="H6" s="41"/>
    </row>
    <row r="7" spans="1:10" x14ac:dyDescent="0.2">
      <c r="C7" s="6"/>
    </row>
    <row r="8" spans="1:10" ht="15.75" x14ac:dyDescent="0.2">
      <c r="A8" s="767" t="s">
        <v>152</v>
      </c>
      <c r="B8" s="767"/>
      <c r="C8" s="767"/>
      <c r="D8" s="239"/>
      <c r="G8" s="4"/>
    </row>
    <row r="10" spans="1:10" ht="12.75" customHeight="1" x14ac:dyDescent="0.2">
      <c r="A10" s="787" t="s">
        <v>113</v>
      </c>
      <c r="B10" s="791" t="s">
        <v>75</v>
      </c>
      <c r="C10" s="789" t="s">
        <v>76</v>
      </c>
      <c r="D10" s="803" t="s">
        <v>77</v>
      </c>
      <c r="E10" s="802" t="s">
        <v>78</v>
      </c>
      <c r="F10" s="802"/>
      <c r="G10" s="802"/>
      <c r="H10" s="804" t="s">
        <v>236</v>
      </c>
    </row>
    <row r="11" spans="1:10" ht="39" customHeight="1" thickBot="1" x14ac:dyDescent="0.25">
      <c r="A11" s="788"/>
      <c r="B11" s="792"/>
      <c r="C11" s="790"/>
      <c r="D11" s="803"/>
      <c r="E11" s="244" t="s">
        <v>67</v>
      </c>
      <c r="F11" s="245" t="s">
        <v>68</v>
      </c>
      <c r="G11" s="246" t="s">
        <v>6</v>
      </c>
      <c r="H11" s="805"/>
    </row>
    <row r="12" spans="1:10" ht="15.75" customHeight="1" x14ac:dyDescent="0.2">
      <c r="A12" s="796" t="str">
        <f>+'B) Reajuste Tarifas y Ocupación'!A12</f>
        <v>Jardín Infantil Pequeños Héroes</v>
      </c>
      <c r="B12" s="426"/>
      <c r="C12" s="380" t="s">
        <v>11</v>
      </c>
      <c r="D12" s="381">
        <f>SUM(D13+D18)</f>
        <v>57619094.809299998</v>
      </c>
      <c r="E12" s="511"/>
      <c r="F12" s="511"/>
      <c r="G12" s="382">
        <f>SUM(G13,G18)</f>
        <v>16120500</v>
      </c>
      <c r="H12" s="383">
        <f>SUM(H13,H18)</f>
        <v>73739594.809300005</v>
      </c>
      <c r="I12" s="384"/>
      <c r="J12" s="384"/>
    </row>
    <row r="13" spans="1:10" ht="12.75" customHeight="1" x14ac:dyDescent="0.2">
      <c r="A13" s="718"/>
      <c r="B13" s="385"/>
      <c r="C13" s="386" t="s">
        <v>12</v>
      </c>
      <c r="D13" s="387">
        <f>SUM(D14:D17)</f>
        <v>51504973.159299999</v>
      </c>
      <c r="E13" s="527"/>
      <c r="F13" s="527"/>
      <c r="G13" s="388">
        <f>SUM(G14:G17)</f>
        <v>0</v>
      </c>
      <c r="H13" s="389">
        <f>SUM(H14:H17)</f>
        <v>51504973.159299999</v>
      </c>
      <c r="I13" s="384"/>
      <c r="J13" s="384"/>
    </row>
    <row r="14" spans="1:10" ht="12.75" customHeight="1" x14ac:dyDescent="0.2">
      <c r="A14" s="718"/>
      <c r="B14" s="390">
        <v>53103040100000</v>
      </c>
      <c r="C14" s="391" t="s">
        <v>95</v>
      </c>
      <c r="D14" s="392">
        <f>+'F) Remuneraciones'!L11</f>
        <v>50995022.93</v>
      </c>
      <c r="E14" s="393">
        <v>0</v>
      </c>
      <c r="F14" s="516">
        <v>0</v>
      </c>
      <c r="G14" s="393">
        <f>E14*F14</f>
        <v>0</v>
      </c>
      <c r="H14" s="394">
        <f>D14+G14</f>
        <v>50995022.93</v>
      </c>
      <c r="I14" s="692">
        <f>SUM(H14:H17)</f>
        <v>51504973.159299999</v>
      </c>
      <c r="J14" s="384"/>
    </row>
    <row r="15" spans="1:10" ht="12.75" customHeight="1" x14ac:dyDescent="0.2">
      <c r="A15" s="718"/>
      <c r="B15" s="390">
        <v>53103050000000</v>
      </c>
      <c r="C15" s="391" t="s">
        <v>171</v>
      </c>
      <c r="D15" s="241">
        <v>0</v>
      </c>
      <c r="E15" s="243">
        <v>0</v>
      </c>
      <c r="F15" s="242">
        <v>0</v>
      </c>
      <c r="G15" s="393">
        <f>E15*F15</f>
        <v>0</v>
      </c>
      <c r="H15" s="394">
        <f>D15+G15</f>
        <v>0</v>
      </c>
      <c r="I15" s="384"/>
      <c r="J15" s="384"/>
    </row>
    <row r="16" spans="1:10" ht="12.75" customHeight="1" x14ac:dyDescent="0.2">
      <c r="A16" s="718"/>
      <c r="B16" s="431">
        <v>53103040400000</v>
      </c>
      <c r="C16" s="395" t="s">
        <v>172</v>
      </c>
      <c r="D16" s="241">
        <f>D14*0.01</f>
        <v>509950.22930000001</v>
      </c>
      <c r="E16" s="243">
        <v>0</v>
      </c>
      <c r="F16" s="242">
        <v>0</v>
      </c>
      <c r="G16" s="393">
        <f>E16*F16</f>
        <v>0</v>
      </c>
      <c r="H16" s="394">
        <f>D16+G16</f>
        <v>509950.22930000001</v>
      </c>
      <c r="I16" s="384"/>
      <c r="J16" s="384"/>
    </row>
    <row r="17" spans="1:15" ht="12.75" customHeight="1" x14ac:dyDescent="0.2">
      <c r="A17" s="718"/>
      <c r="B17" s="390">
        <v>53103080010000</v>
      </c>
      <c r="C17" s="391" t="s">
        <v>173</v>
      </c>
      <c r="D17" s="241">
        <v>0</v>
      </c>
      <c r="E17" s="243">
        <v>0</v>
      </c>
      <c r="F17" s="242">
        <v>0</v>
      </c>
      <c r="G17" s="393">
        <f>E17*F17</f>
        <v>0</v>
      </c>
      <c r="H17" s="394">
        <f>D17+G17</f>
        <v>0</v>
      </c>
      <c r="I17" s="384"/>
      <c r="J17" s="384"/>
      <c r="L17" s="798" t="s">
        <v>241</v>
      </c>
      <c r="M17" s="797" t="s">
        <v>233</v>
      </c>
      <c r="N17" s="797" t="s">
        <v>239</v>
      </c>
      <c r="O17" s="797" t="s">
        <v>240</v>
      </c>
    </row>
    <row r="18" spans="1:15" ht="12.75" customHeight="1" x14ac:dyDescent="0.2">
      <c r="A18" s="718"/>
      <c r="B18" s="385"/>
      <c r="C18" s="386" t="s">
        <v>16</v>
      </c>
      <c r="D18" s="387">
        <f>SUM(D19:D38)</f>
        <v>6114121.6500000004</v>
      </c>
      <c r="E18" s="527"/>
      <c r="F18" s="527"/>
      <c r="G18" s="387">
        <f>SUM(G19:G38)</f>
        <v>16120500</v>
      </c>
      <c r="H18" s="389">
        <f>SUM(H19:H38)</f>
        <v>22234621.650000002</v>
      </c>
      <c r="I18" s="692">
        <f>+H18+H45+H47+H56</f>
        <v>25829789.450000003</v>
      </c>
      <c r="J18" s="384"/>
      <c r="L18" s="799"/>
      <c r="M18" s="797"/>
      <c r="N18" s="797"/>
      <c r="O18" s="797"/>
    </row>
    <row r="19" spans="1:15" ht="12.75" customHeight="1" x14ac:dyDescent="0.2">
      <c r="A19" s="718"/>
      <c r="B19" s="390">
        <v>53201010100000</v>
      </c>
      <c r="C19" s="396" t="s">
        <v>174</v>
      </c>
      <c r="D19" s="241">
        <v>0</v>
      </c>
      <c r="E19" s="243">
        <v>2400</v>
      </c>
      <c r="F19" s="242">
        <f>8*20*11</f>
        <v>1760</v>
      </c>
      <c r="G19" s="393">
        <f t="shared" ref="G19:G38" si="0">E19*F19</f>
        <v>4224000</v>
      </c>
      <c r="H19" s="394">
        <f t="shared" ref="H19:H38" si="1">D19+G19</f>
        <v>4224000</v>
      </c>
      <c r="I19" s="384"/>
      <c r="J19" s="384"/>
      <c r="L19" s="670" t="s">
        <v>11</v>
      </c>
      <c r="M19" s="671"/>
      <c r="N19" s="671"/>
      <c r="O19" s="671"/>
    </row>
    <row r="20" spans="1:15" ht="12.75" customHeight="1" x14ac:dyDescent="0.2">
      <c r="A20" s="718"/>
      <c r="B20" s="390">
        <v>53201010100000</v>
      </c>
      <c r="C20" s="396" t="s">
        <v>175</v>
      </c>
      <c r="D20" s="241">
        <v>0</v>
      </c>
      <c r="E20" s="243">
        <v>1050</v>
      </c>
      <c r="F20" s="242">
        <f>(53*10*21)+(10*20)</f>
        <v>11330</v>
      </c>
      <c r="G20" s="393">
        <f t="shared" si="0"/>
        <v>11896500</v>
      </c>
      <c r="H20" s="394">
        <f t="shared" si="1"/>
        <v>11896500</v>
      </c>
      <c r="I20" s="384"/>
      <c r="J20" s="384"/>
      <c r="L20" s="667" t="s">
        <v>16</v>
      </c>
      <c r="M20" s="668"/>
      <c r="N20" s="669"/>
      <c r="O20" s="669"/>
    </row>
    <row r="21" spans="1:15" ht="12.75" customHeight="1" x14ac:dyDescent="0.2">
      <c r="A21" s="718"/>
      <c r="B21" s="390">
        <v>53201010100000</v>
      </c>
      <c r="C21" s="396" t="s">
        <v>176</v>
      </c>
      <c r="D21" s="241">
        <v>0</v>
      </c>
      <c r="E21" s="243">
        <v>0</v>
      </c>
      <c r="F21" s="242"/>
      <c r="G21" s="393">
        <f t="shared" si="0"/>
        <v>0</v>
      </c>
      <c r="H21" s="394">
        <f t="shared" si="1"/>
        <v>0</v>
      </c>
      <c r="I21" s="384"/>
      <c r="J21" s="384"/>
      <c r="L21" s="435" t="s">
        <v>177</v>
      </c>
      <c r="M21" s="525">
        <v>350000</v>
      </c>
      <c r="N21" s="434">
        <f t="shared" ref="N21:N68" si="2">M21*0.7</f>
        <v>244999.99999999997</v>
      </c>
      <c r="O21" s="434">
        <f t="shared" ref="O21:O68" si="3">M21*0.3</f>
        <v>105000</v>
      </c>
    </row>
    <row r="22" spans="1:15" ht="12.75" customHeight="1" x14ac:dyDescent="0.2">
      <c r="A22" s="718"/>
      <c r="B22" s="390">
        <v>53202010100000</v>
      </c>
      <c r="C22" s="391" t="s">
        <v>177</v>
      </c>
      <c r="D22" s="514">
        <f>N21</f>
        <v>244999.99999999997</v>
      </c>
      <c r="E22" s="514">
        <v>0</v>
      </c>
      <c r="F22" s="515">
        <v>0</v>
      </c>
      <c r="G22" s="393">
        <f t="shared" si="0"/>
        <v>0</v>
      </c>
      <c r="H22" s="394">
        <f t="shared" si="1"/>
        <v>244999.99999999997</v>
      </c>
      <c r="I22" s="384"/>
      <c r="J22" s="384"/>
      <c r="L22" s="391" t="s">
        <v>19</v>
      </c>
      <c r="M22" s="687">
        <v>0</v>
      </c>
      <c r="N22" s="434">
        <f t="shared" si="2"/>
        <v>0</v>
      </c>
      <c r="O22" s="434">
        <f t="shared" si="3"/>
        <v>0</v>
      </c>
    </row>
    <row r="23" spans="1:15" ht="12.75" customHeight="1" x14ac:dyDescent="0.2">
      <c r="A23" s="718"/>
      <c r="B23" s="390">
        <v>53203010100000</v>
      </c>
      <c r="C23" s="391" t="s">
        <v>19</v>
      </c>
      <c r="D23" s="393">
        <f>N22</f>
        <v>0</v>
      </c>
      <c r="E23" s="393">
        <v>0</v>
      </c>
      <c r="F23" s="515">
        <v>0</v>
      </c>
      <c r="G23" s="393">
        <f t="shared" si="0"/>
        <v>0</v>
      </c>
      <c r="H23" s="394">
        <f>D23+G23</f>
        <v>0</v>
      </c>
      <c r="I23" s="384"/>
      <c r="J23" s="384"/>
      <c r="L23" s="391" t="s">
        <v>178</v>
      </c>
      <c r="M23" s="687">
        <v>0</v>
      </c>
      <c r="N23" s="434">
        <f t="shared" si="2"/>
        <v>0</v>
      </c>
      <c r="O23" s="434">
        <f t="shared" si="3"/>
        <v>0</v>
      </c>
    </row>
    <row r="24" spans="1:15" ht="12.75" customHeight="1" x14ac:dyDescent="0.2">
      <c r="A24" s="718"/>
      <c r="B24" s="390">
        <v>53203030000000</v>
      </c>
      <c r="C24" s="391" t="s">
        <v>178</v>
      </c>
      <c r="D24" s="393">
        <f>N23</f>
        <v>0</v>
      </c>
      <c r="E24" s="393">
        <v>0</v>
      </c>
      <c r="F24" s="515">
        <v>0</v>
      </c>
      <c r="G24" s="393">
        <f t="shared" si="0"/>
        <v>0</v>
      </c>
      <c r="H24" s="394">
        <f t="shared" si="1"/>
        <v>0</v>
      </c>
      <c r="I24" s="384"/>
      <c r="J24" s="384"/>
      <c r="L24" s="391" t="s">
        <v>212</v>
      </c>
      <c r="M24" s="687">
        <v>125518</v>
      </c>
      <c r="N24" s="434">
        <f t="shared" si="2"/>
        <v>87862.599999999991</v>
      </c>
      <c r="O24" s="434">
        <f t="shared" si="3"/>
        <v>37655.4</v>
      </c>
    </row>
    <row r="25" spans="1:15" ht="12.75" customHeight="1" x14ac:dyDescent="0.2">
      <c r="A25" s="718"/>
      <c r="B25" s="390">
        <v>53204030000000</v>
      </c>
      <c r="C25" s="391" t="s">
        <v>212</v>
      </c>
      <c r="D25" s="393">
        <f t="shared" ref="D25:D33" si="4">N24</f>
        <v>87862.599999999991</v>
      </c>
      <c r="E25" s="393">
        <v>0</v>
      </c>
      <c r="F25" s="515">
        <v>0</v>
      </c>
      <c r="G25" s="393">
        <f t="shared" si="0"/>
        <v>0</v>
      </c>
      <c r="H25" s="394">
        <f>D25+G25</f>
        <v>87862.599999999991</v>
      </c>
      <c r="I25" s="384"/>
      <c r="J25" s="384"/>
      <c r="L25" s="391" t="s">
        <v>22</v>
      </c>
      <c r="M25" s="687">
        <v>0</v>
      </c>
      <c r="N25" s="434">
        <f t="shared" si="2"/>
        <v>0</v>
      </c>
      <c r="O25" s="434">
        <f t="shared" si="3"/>
        <v>0</v>
      </c>
    </row>
    <row r="26" spans="1:15" ht="12.75" customHeight="1" x14ac:dyDescent="0.2">
      <c r="A26" s="718"/>
      <c r="B26" s="390">
        <v>53204100100001</v>
      </c>
      <c r="C26" s="391" t="s">
        <v>22</v>
      </c>
      <c r="D26" s="393">
        <f t="shared" si="4"/>
        <v>0</v>
      </c>
      <c r="E26" s="393">
        <v>0</v>
      </c>
      <c r="F26" s="515">
        <v>0</v>
      </c>
      <c r="G26" s="393">
        <f t="shared" si="0"/>
        <v>0</v>
      </c>
      <c r="H26" s="394">
        <f t="shared" si="1"/>
        <v>0</v>
      </c>
      <c r="I26" s="384"/>
      <c r="J26" s="384"/>
      <c r="L26" s="391" t="s">
        <v>180</v>
      </c>
      <c r="M26" s="687">
        <v>0</v>
      </c>
      <c r="N26" s="434">
        <f t="shared" si="2"/>
        <v>0</v>
      </c>
      <c r="O26" s="434">
        <f t="shared" si="3"/>
        <v>0</v>
      </c>
    </row>
    <row r="27" spans="1:15" ht="12.75" customHeight="1" x14ac:dyDescent="0.2">
      <c r="A27" s="718"/>
      <c r="B27" s="390">
        <v>53204130100000</v>
      </c>
      <c r="C27" s="391" t="s">
        <v>180</v>
      </c>
      <c r="D27" s="393">
        <f t="shared" si="4"/>
        <v>0</v>
      </c>
      <c r="E27" s="393">
        <v>0</v>
      </c>
      <c r="F27" s="515">
        <v>0</v>
      </c>
      <c r="G27" s="393">
        <f t="shared" si="0"/>
        <v>0</v>
      </c>
      <c r="H27" s="394">
        <f t="shared" si="1"/>
        <v>0</v>
      </c>
      <c r="I27" s="384"/>
      <c r="J27" s="384"/>
      <c r="L27" s="391" t="s">
        <v>24</v>
      </c>
      <c r="M27" s="687">
        <f>'[1]H) Detalle Datos'!C23</f>
        <v>1178340</v>
      </c>
      <c r="N27" s="434">
        <f t="shared" si="2"/>
        <v>824838</v>
      </c>
      <c r="O27" s="434">
        <f t="shared" si="3"/>
        <v>353502</v>
      </c>
    </row>
    <row r="28" spans="1:15" ht="12.75" customHeight="1" x14ac:dyDescent="0.2">
      <c r="A28" s="718"/>
      <c r="B28" s="390">
        <v>53205010100000</v>
      </c>
      <c r="C28" s="391" t="s">
        <v>24</v>
      </c>
      <c r="D28" s="393">
        <f t="shared" si="4"/>
        <v>824838</v>
      </c>
      <c r="E28" s="393">
        <v>0</v>
      </c>
      <c r="F28" s="515">
        <v>0</v>
      </c>
      <c r="G28" s="393">
        <f t="shared" si="0"/>
        <v>0</v>
      </c>
      <c r="H28" s="394">
        <f t="shared" si="1"/>
        <v>824838</v>
      </c>
      <c r="I28" s="384"/>
      <c r="J28" s="384"/>
      <c r="L28" s="391" t="s">
        <v>25</v>
      </c>
      <c r="M28" s="688">
        <f>'[1]H) Detalle Datos'!C24</f>
        <v>3077521.5</v>
      </c>
      <c r="N28" s="434">
        <f t="shared" si="2"/>
        <v>2154265.0499999998</v>
      </c>
      <c r="O28" s="434">
        <f t="shared" si="3"/>
        <v>923256.45</v>
      </c>
    </row>
    <row r="29" spans="1:15" ht="12.75" customHeight="1" x14ac:dyDescent="0.2">
      <c r="A29" s="718"/>
      <c r="B29" s="390">
        <v>53205020100000</v>
      </c>
      <c r="C29" s="391" t="s">
        <v>25</v>
      </c>
      <c r="D29" s="393">
        <f t="shared" si="4"/>
        <v>2154265.0499999998</v>
      </c>
      <c r="E29" s="393">
        <v>0</v>
      </c>
      <c r="F29" s="515">
        <v>0</v>
      </c>
      <c r="G29" s="393">
        <f t="shared" si="0"/>
        <v>0</v>
      </c>
      <c r="H29" s="394">
        <f t="shared" si="1"/>
        <v>2154265.0499999998</v>
      </c>
      <c r="I29" s="384"/>
      <c r="J29" s="384"/>
      <c r="L29" s="391" t="s">
        <v>26</v>
      </c>
      <c r="M29" s="687">
        <f>'[1]H) Detalle Datos'!C25</f>
        <v>861080</v>
      </c>
      <c r="N29" s="434">
        <f t="shared" si="2"/>
        <v>602756</v>
      </c>
      <c r="O29" s="434">
        <f t="shared" si="3"/>
        <v>258324</v>
      </c>
    </row>
    <row r="30" spans="1:15" ht="12.75" customHeight="1" x14ac:dyDescent="0.2">
      <c r="A30" s="718"/>
      <c r="B30" s="390">
        <v>53205030100000</v>
      </c>
      <c r="C30" s="391" t="s">
        <v>26</v>
      </c>
      <c r="D30" s="393">
        <f t="shared" si="4"/>
        <v>602756</v>
      </c>
      <c r="E30" s="393">
        <v>0</v>
      </c>
      <c r="F30" s="515">
        <v>0</v>
      </c>
      <c r="G30" s="393">
        <f t="shared" si="0"/>
        <v>0</v>
      </c>
      <c r="H30" s="394">
        <f t="shared" si="1"/>
        <v>602756</v>
      </c>
      <c r="I30" s="384"/>
      <c r="J30" s="384"/>
      <c r="L30" s="391" t="s">
        <v>27</v>
      </c>
      <c r="M30" s="687">
        <v>0</v>
      </c>
      <c r="N30" s="434">
        <f t="shared" si="2"/>
        <v>0</v>
      </c>
      <c r="O30" s="434">
        <f t="shared" si="3"/>
        <v>0</v>
      </c>
    </row>
    <row r="31" spans="1:15" ht="12.75" customHeight="1" x14ac:dyDescent="0.2">
      <c r="A31" s="718"/>
      <c r="B31" s="390">
        <v>53205050100000</v>
      </c>
      <c r="C31" s="391" t="s">
        <v>27</v>
      </c>
      <c r="D31" s="393">
        <f t="shared" si="4"/>
        <v>0</v>
      </c>
      <c r="E31" s="393">
        <v>0</v>
      </c>
      <c r="F31" s="515">
        <v>0</v>
      </c>
      <c r="G31" s="393">
        <f t="shared" si="0"/>
        <v>0</v>
      </c>
      <c r="H31" s="394">
        <f t="shared" si="1"/>
        <v>0</v>
      </c>
      <c r="I31" s="384"/>
      <c r="J31" s="384"/>
      <c r="L31" s="391" t="s">
        <v>29</v>
      </c>
      <c r="M31" s="687">
        <v>642000</v>
      </c>
      <c r="N31" s="434">
        <f t="shared" si="2"/>
        <v>449400</v>
      </c>
      <c r="O31" s="434">
        <f t="shared" si="3"/>
        <v>192600</v>
      </c>
    </row>
    <row r="32" spans="1:15" ht="12.75" customHeight="1" x14ac:dyDescent="0.2">
      <c r="A32" s="718"/>
      <c r="B32" s="390">
        <v>53205070100000</v>
      </c>
      <c r="C32" s="391" t="s">
        <v>29</v>
      </c>
      <c r="D32" s="393">
        <f t="shared" si="4"/>
        <v>449400</v>
      </c>
      <c r="E32" s="393">
        <v>0</v>
      </c>
      <c r="F32" s="515">
        <v>0</v>
      </c>
      <c r="G32" s="393">
        <f t="shared" si="0"/>
        <v>0</v>
      </c>
      <c r="H32" s="394">
        <f t="shared" si="1"/>
        <v>449400</v>
      </c>
      <c r="I32" s="384"/>
      <c r="J32" s="384"/>
      <c r="L32" s="391" t="s">
        <v>30</v>
      </c>
      <c r="M32" s="687">
        <v>0</v>
      </c>
      <c r="N32" s="434">
        <f t="shared" si="2"/>
        <v>0</v>
      </c>
      <c r="O32" s="434">
        <f t="shared" si="3"/>
        <v>0</v>
      </c>
    </row>
    <row r="33" spans="1:15" ht="12.75" customHeight="1" x14ac:dyDescent="0.2">
      <c r="A33" s="718"/>
      <c r="B33" s="390">
        <v>53208010100000</v>
      </c>
      <c r="C33" s="391" t="s">
        <v>30</v>
      </c>
      <c r="D33" s="393">
        <f t="shared" si="4"/>
        <v>0</v>
      </c>
      <c r="E33" s="393">
        <v>0</v>
      </c>
      <c r="F33" s="515">
        <v>0</v>
      </c>
      <c r="G33" s="393">
        <f t="shared" si="0"/>
        <v>0</v>
      </c>
      <c r="H33" s="394">
        <f t="shared" si="1"/>
        <v>0</v>
      </c>
      <c r="I33" s="384"/>
      <c r="J33" s="384"/>
      <c r="L33" s="391" t="s">
        <v>31</v>
      </c>
      <c r="M33" s="526">
        <v>0</v>
      </c>
      <c r="N33" s="434">
        <f t="shared" si="2"/>
        <v>0</v>
      </c>
      <c r="O33" s="434">
        <f t="shared" si="3"/>
        <v>0</v>
      </c>
    </row>
    <row r="34" spans="1:15" ht="12.75" customHeight="1" x14ac:dyDescent="0.2">
      <c r="A34" s="718"/>
      <c r="B34" s="390">
        <v>53208070100001</v>
      </c>
      <c r="C34" s="391" t="s">
        <v>31</v>
      </c>
      <c r="D34" s="393">
        <f>N33</f>
        <v>0</v>
      </c>
      <c r="E34" s="393">
        <v>0</v>
      </c>
      <c r="F34" s="515">
        <v>0</v>
      </c>
      <c r="G34" s="393">
        <f t="shared" si="0"/>
        <v>0</v>
      </c>
      <c r="H34" s="394">
        <f t="shared" si="1"/>
        <v>0</v>
      </c>
      <c r="I34" s="384"/>
      <c r="J34" s="384"/>
      <c r="L34" s="391" t="s">
        <v>181</v>
      </c>
      <c r="M34" s="687">
        <v>0</v>
      </c>
      <c r="N34" s="434">
        <f t="shared" si="2"/>
        <v>0</v>
      </c>
      <c r="O34" s="434">
        <f t="shared" si="3"/>
        <v>0</v>
      </c>
    </row>
    <row r="35" spans="1:15" ht="12.75" customHeight="1" x14ac:dyDescent="0.2">
      <c r="A35" s="718"/>
      <c r="B35" s="390">
        <v>53208100100001</v>
      </c>
      <c r="C35" s="391" t="s">
        <v>181</v>
      </c>
      <c r="D35" s="393">
        <f>N34</f>
        <v>0</v>
      </c>
      <c r="E35" s="393">
        <v>0</v>
      </c>
      <c r="F35" s="515">
        <v>0</v>
      </c>
      <c r="G35" s="393">
        <f t="shared" si="0"/>
        <v>0</v>
      </c>
      <c r="H35" s="394">
        <f t="shared" si="1"/>
        <v>0</v>
      </c>
      <c r="I35" s="384"/>
      <c r="J35" s="384"/>
      <c r="L35" s="391" t="s">
        <v>32</v>
      </c>
      <c r="M35" s="687">
        <v>0</v>
      </c>
      <c r="N35" s="434">
        <f t="shared" si="2"/>
        <v>0</v>
      </c>
      <c r="O35" s="434">
        <f t="shared" si="3"/>
        <v>0</v>
      </c>
    </row>
    <row r="36" spans="1:15" ht="12.75" customHeight="1" x14ac:dyDescent="0.2">
      <c r="A36" s="718"/>
      <c r="B36" s="390">
        <v>53211030000000</v>
      </c>
      <c r="C36" s="391" t="s">
        <v>32</v>
      </c>
      <c r="D36" s="393">
        <f t="shared" ref="D36:D37" si="5">N35</f>
        <v>0</v>
      </c>
      <c r="E36" s="393">
        <v>0</v>
      </c>
      <c r="F36" s="515">
        <v>0</v>
      </c>
      <c r="G36" s="393">
        <f t="shared" si="0"/>
        <v>0</v>
      </c>
      <c r="H36" s="394">
        <f t="shared" si="1"/>
        <v>0</v>
      </c>
      <c r="I36" s="384"/>
      <c r="J36" s="384"/>
      <c r="L36" s="435" t="s">
        <v>182</v>
      </c>
      <c r="M36" s="687">
        <v>2500000</v>
      </c>
      <c r="N36" s="434">
        <f t="shared" si="2"/>
        <v>1750000</v>
      </c>
      <c r="O36" s="434">
        <f t="shared" si="3"/>
        <v>750000</v>
      </c>
    </row>
    <row r="37" spans="1:15" ht="12.75" customHeight="1" x14ac:dyDescent="0.2">
      <c r="A37" s="718"/>
      <c r="B37" s="390">
        <v>53212020100000</v>
      </c>
      <c r="C37" s="391" t="s">
        <v>182</v>
      </c>
      <c r="D37" s="393">
        <f t="shared" si="5"/>
        <v>1750000</v>
      </c>
      <c r="E37" s="393">
        <v>0</v>
      </c>
      <c r="F37" s="515">
        <v>0</v>
      </c>
      <c r="G37" s="393">
        <f t="shared" si="0"/>
        <v>0</v>
      </c>
      <c r="H37" s="394">
        <f t="shared" si="1"/>
        <v>1750000</v>
      </c>
      <c r="I37" s="384"/>
      <c r="J37" s="384"/>
      <c r="L37" s="391" t="s">
        <v>183</v>
      </c>
      <c r="M37" s="689"/>
      <c r="N37" s="434">
        <f t="shared" si="2"/>
        <v>0</v>
      </c>
      <c r="O37" s="434">
        <f t="shared" si="3"/>
        <v>0</v>
      </c>
    </row>
    <row r="38" spans="1:15" ht="12.75" customHeight="1" x14ac:dyDescent="0.2">
      <c r="A38" s="718"/>
      <c r="B38" s="390">
        <v>53214020000000</v>
      </c>
      <c r="C38" s="391" t="s">
        <v>183</v>
      </c>
      <c r="D38" s="393">
        <f>N37</f>
        <v>0</v>
      </c>
      <c r="E38" s="393">
        <v>0</v>
      </c>
      <c r="F38" s="515">
        <v>0</v>
      </c>
      <c r="G38" s="393">
        <f t="shared" si="0"/>
        <v>0</v>
      </c>
      <c r="H38" s="394">
        <f t="shared" si="1"/>
        <v>0</v>
      </c>
      <c r="I38" s="384"/>
      <c r="J38" s="384"/>
      <c r="L38" s="380" t="s">
        <v>34</v>
      </c>
      <c r="M38" s="690"/>
      <c r="N38" s="522"/>
      <c r="O38" s="522"/>
    </row>
    <row r="39" spans="1:15" ht="15.75" customHeight="1" x14ac:dyDescent="0.2">
      <c r="A39" s="718"/>
      <c r="B39" s="426"/>
      <c r="C39" s="380" t="s">
        <v>34</v>
      </c>
      <c r="D39" s="398">
        <f>SUM(D40,D45,D47,D56,D65,D73)</f>
        <v>3206317.8</v>
      </c>
      <c r="E39" s="528"/>
      <c r="F39" s="528"/>
      <c r="G39" s="381"/>
      <c r="H39" s="398">
        <f>SUM(H40,H45,H47,H56,H65,H73)</f>
        <v>5350167.8</v>
      </c>
      <c r="I39" s="384"/>
      <c r="J39" s="384"/>
      <c r="L39" s="386" t="s">
        <v>35</v>
      </c>
      <c r="M39" s="524"/>
      <c r="N39" s="521"/>
      <c r="O39" s="521"/>
    </row>
    <row r="40" spans="1:15" ht="12.75" customHeight="1" x14ac:dyDescent="0.2">
      <c r="A40" s="718"/>
      <c r="B40" s="385"/>
      <c r="C40" s="386" t="s">
        <v>35</v>
      </c>
      <c r="D40" s="387">
        <f>SUM(D41:D44)</f>
        <v>0</v>
      </c>
      <c r="E40" s="527"/>
      <c r="F40" s="527"/>
      <c r="G40" s="387">
        <f>SUM(G41:G44)</f>
        <v>455000</v>
      </c>
      <c r="H40" s="387">
        <f>SUM(H41:H44)</f>
        <v>455000</v>
      </c>
      <c r="I40" s="384"/>
      <c r="J40" s="384"/>
      <c r="L40" s="391" t="s">
        <v>41</v>
      </c>
      <c r="M40" s="687">
        <v>0</v>
      </c>
      <c r="N40" s="434">
        <f t="shared" si="2"/>
        <v>0</v>
      </c>
      <c r="O40" s="434">
        <f t="shared" si="3"/>
        <v>0</v>
      </c>
    </row>
    <row r="41" spans="1:15" ht="12.75" customHeight="1" x14ac:dyDescent="0.2">
      <c r="A41" s="718"/>
      <c r="B41" s="390">
        <v>53202020100000</v>
      </c>
      <c r="C41" s="391" t="s">
        <v>184</v>
      </c>
      <c r="D41" s="241">
        <v>0</v>
      </c>
      <c r="E41" s="243">
        <v>25000</v>
      </c>
      <c r="F41" s="676">
        <v>11</v>
      </c>
      <c r="G41" s="393">
        <f>E41*F41</f>
        <v>275000</v>
      </c>
      <c r="H41" s="394">
        <f t="shared" ref="H41:H74" si="6">D41+G41</f>
        <v>275000</v>
      </c>
      <c r="I41" s="384"/>
      <c r="J41" s="384"/>
      <c r="L41" s="435" t="s">
        <v>186</v>
      </c>
      <c r="M41" s="687">
        <v>0</v>
      </c>
      <c r="N41" s="434">
        <f t="shared" si="2"/>
        <v>0</v>
      </c>
      <c r="O41" s="434">
        <f t="shared" si="3"/>
        <v>0</v>
      </c>
    </row>
    <row r="42" spans="1:15" ht="12.75" customHeight="1" x14ac:dyDescent="0.2">
      <c r="A42" s="718"/>
      <c r="B42" s="390">
        <v>53202030000000</v>
      </c>
      <c r="C42" s="391" t="s">
        <v>245</v>
      </c>
      <c r="D42" s="241">
        <v>0</v>
      </c>
      <c r="E42" s="243">
        <v>90000</v>
      </c>
      <c r="F42" s="676">
        <v>2</v>
      </c>
      <c r="G42" s="393">
        <f t="shared" ref="G42:G74" si="7">E42*F42</f>
        <v>180000</v>
      </c>
      <c r="H42" s="394">
        <f t="shared" si="6"/>
        <v>180000</v>
      </c>
      <c r="I42" s="384"/>
      <c r="J42" s="384"/>
      <c r="L42" s="386" t="s">
        <v>42</v>
      </c>
      <c r="M42" s="524"/>
      <c r="N42" s="521"/>
      <c r="O42" s="521"/>
    </row>
    <row r="43" spans="1:15" ht="12.75" customHeight="1" x14ac:dyDescent="0.2">
      <c r="A43" s="718"/>
      <c r="B43" s="390">
        <v>53211020000000</v>
      </c>
      <c r="C43" s="391" t="s">
        <v>41</v>
      </c>
      <c r="D43" s="517">
        <f>N40</f>
        <v>0</v>
      </c>
      <c r="E43" s="517">
        <v>0</v>
      </c>
      <c r="F43" s="518">
        <v>0</v>
      </c>
      <c r="G43" s="393">
        <f t="shared" si="7"/>
        <v>0</v>
      </c>
      <c r="H43" s="394">
        <f t="shared" si="6"/>
        <v>0</v>
      </c>
      <c r="I43" s="384"/>
      <c r="J43" s="384"/>
      <c r="L43" s="391" t="s">
        <v>44</v>
      </c>
      <c r="M43" s="687">
        <v>0</v>
      </c>
      <c r="N43" s="434">
        <f t="shared" si="2"/>
        <v>0</v>
      </c>
      <c r="O43" s="434">
        <f t="shared" si="3"/>
        <v>0</v>
      </c>
    </row>
    <row r="44" spans="1:15" ht="12.75" customHeight="1" x14ac:dyDescent="0.2">
      <c r="A44" s="718"/>
      <c r="B44" s="390">
        <v>53101040600000</v>
      </c>
      <c r="C44" s="391" t="s">
        <v>186</v>
      </c>
      <c r="D44" s="517">
        <f>N41</f>
        <v>0</v>
      </c>
      <c r="E44" s="517">
        <v>0</v>
      </c>
      <c r="F44" s="518">
        <v>0</v>
      </c>
      <c r="G44" s="393">
        <f t="shared" si="7"/>
        <v>0</v>
      </c>
      <c r="H44" s="394">
        <f t="shared" si="6"/>
        <v>0</v>
      </c>
      <c r="I44" s="384"/>
      <c r="J44" s="384"/>
      <c r="L44" s="386" t="s">
        <v>45</v>
      </c>
      <c r="M44" s="691"/>
      <c r="N44" s="665"/>
      <c r="O44" s="665"/>
    </row>
    <row r="45" spans="1:15" ht="12.75" customHeight="1" x14ac:dyDescent="0.2">
      <c r="A45" s="718"/>
      <c r="B45" s="385"/>
      <c r="C45" s="386" t="s">
        <v>42</v>
      </c>
      <c r="D45" s="387">
        <f>SUM(D46:D46)</f>
        <v>0</v>
      </c>
      <c r="E45" s="527"/>
      <c r="F45" s="527"/>
      <c r="G45" s="399">
        <f>SUM(G46:G46)</f>
        <v>0</v>
      </c>
      <c r="H45" s="400">
        <f>SUM(H46:H46)</f>
        <v>0</v>
      </c>
      <c r="I45" s="384"/>
      <c r="J45" s="384"/>
      <c r="L45" s="391" t="s">
        <v>47</v>
      </c>
      <c r="M45" s="687">
        <v>200000</v>
      </c>
      <c r="N45" s="434">
        <f t="shared" si="2"/>
        <v>140000</v>
      </c>
      <c r="O45" s="434">
        <f t="shared" si="3"/>
        <v>60000</v>
      </c>
    </row>
    <row r="46" spans="1:15" ht="12.75" customHeight="1" x14ac:dyDescent="0.2">
      <c r="A46" s="718"/>
      <c r="B46" s="401">
        <v>53205990000000</v>
      </c>
      <c r="C46" s="391" t="s">
        <v>44</v>
      </c>
      <c r="D46" s="517">
        <f>N43</f>
        <v>0</v>
      </c>
      <c r="E46" s="517">
        <v>0</v>
      </c>
      <c r="F46" s="518">
        <v>0</v>
      </c>
      <c r="G46" s="393">
        <f t="shared" si="7"/>
        <v>0</v>
      </c>
      <c r="H46" s="394">
        <f t="shared" si="6"/>
        <v>0</v>
      </c>
      <c r="I46" s="384"/>
      <c r="J46" s="384"/>
      <c r="L46" s="391" t="s">
        <v>213</v>
      </c>
      <c r="M46" s="687">
        <v>0</v>
      </c>
      <c r="N46" s="434">
        <f t="shared" si="2"/>
        <v>0</v>
      </c>
      <c r="O46" s="434">
        <f t="shared" si="3"/>
        <v>0</v>
      </c>
    </row>
    <row r="47" spans="1:15" ht="12.75" customHeight="1" x14ac:dyDescent="0.2">
      <c r="A47" s="718"/>
      <c r="B47" s="385"/>
      <c r="C47" s="386" t="s">
        <v>45</v>
      </c>
      <c r="D47" s="387">
        <f>SUM(D48:D55)</f>
        <v>1820000</v>
      </c>
      <c r="E47" s="527"/>
      <c r="F47" s="527"/>
      <c r="G47" s="387">
        <f>SUM(G48:G55)</f>
        <v>0</v>
      </c>
      <c r="H47" s="389">
        <f>SUM(H48:H55)</f>
        <v>1820000</v>
      </c>
      <c r="I47" s="384"/>
      <c r="J47" s="384"/>
      <c r="L47" s="391" t="s">
        <v>49</v>
      </c>
      <c r="M47" s="687">
        <v>0</v>
      </c>
      <c r="N47" s="434">
        <f t="shared" si="2"/>
        <v>0</v>
      </c>
      <c r="O47" s="434">
        <f t="shared" si="3"/>
        <v>0</v>
      </c>
    </row>
    <row r="48" spans="1:15" ht="12.75" customHeight="1" x14ac:dyDescent="0.2">
      <c r="A48" s="718"/>
      <c r="B48" s="390">
        <v>53204010000000</v>
      </c>
      <c r="C48" s="391" t="s">
        <v>47</v>
      </c>
      <c r="D48" s="517">
        <f>N45</f>
        <v>140000</v>
      </c>
      <c r="E48" s="517">
        <v>0</v>
      </c>
      <c r="F48" s="519">
        <v>0</v>
      </c>
      <c r="G48" s="517">
        <f t="shared" si="7"/>
        <v>0</v>
      </c>
      <c r="H48" s="394">
        <f t="shared" si="6"/>
        <v>140000</v>
      </c>
      <c r="I48" s="384"/>
      <c r="J48" s="384"/>
      <c r="L48" s="391" t="s">
        <v>50</v>
      </c>
      <c r="M48" s="687">
        <v>1800000</v>
      </c>
      <c r="N48" s="434">
        <f t="shared" si="2"/>
        <v>1260000</v>
      </c>
      <c r="O48" s="434">
        <f t="shared" si="3"/>
        <v>540000</v>
      </c>
    </row>
    <row r="49" spans="1:15" ht="12.75" customHeight="1" x14ac:dyDescent="0.2">
      <c r="A49" s="718"/>
      <c r="B49" s="401">
        <v>53204040200000</v>
      </c>
      <c r="C49" s="391" t="s">
        <v>213</v>
      </c>
      <c r="D49" s="517">
        <f t="shared" ref="D49:D52" si="8">N46</f>
        <v>0</v>
      </c>
      <c r="E49" s="517">
        <v>0</v>
      </c>
      <c r="F49" s="519">
        <v>0</v>
      </c>
      <c r="G49" s="517">
        <f t="shared" si="7"/>
        <v>0</v>
      </c>
      <c r="H49" s="394">
        <f t="shared" si="6"/>
        <v>0</v>
      </c>
      <c r="I49" s="384"/>
      <c r="J49" s="384"/>
      <c r="L49" s="391" t="s">
        <v>51</v>
      </c>
      <c r="M49" s="687">
        <v>300000</v>
      </c>
      <c r="N49" s="434">
        <f t="shared" si="2"/>
        <v>210000</v>
      </c>
      <c r="O49" s="434">
        <f t="shared" si="3"/>
        <v>90000</v>
      </c>
    </row>
    <row r="50" spans="1:15" ht="12.75" customHeight="1" x14ac:dyDescent="0.2">
      <c r="A50" s="718"/>
      <c r="B50" s="390">
        <v>53204060000000</v>
      </c>
      <c r="C50" s="391" t="s">
        <v>49</v>
      </c>
      <c r="D50" s="517">
        <f t="shared" si="8"/>
        <v>0</v>
      </c>
      <c r="E50" s="517">
        <v>0</v>
      </c>
      <c r="F50" s="519">
        <v>0</v>
      </c>
      <c r="G50" s="517">
        <f t="shared" si="7"/>
        <v>0</v>
      </c>
      <c r="H50" s="394">
        <f t="shared" si="6"/>
        <v>0</v>
      </c>
      <c r="I50" s="384"/>
      <c r="J50" s="384"/>
      <c r="L50" s="391" t="s">
        <v>52</v>
      </c>
      <c r="M50" s="689">
        <v>300000</v>
      </c>
      <c r="N50" s="434">
        <f t="shared" si="2"/>
        <v>210000</v>
      </c>
      <c r="O50" s="434">
        <f t="shared" si="3"/>
        <v>90000</v>
      </c>
    </row>
    <row r="51" spans="1:15" ht="12.75" customHeight="1" x14ac:dyDescent="0.2">
      <c r="A51" s="718"/>
      <c r="B51" s="390">
        <v>53204070000000</v>
      </c>
      <c r="C51" s="391" t="s">
        <v>50</v>
      </c>
      <c r="D51" s="517">
        <f t="shared" si="8"/>
        <v>1260000</v>
      </c>
      <c r="E51" s="517">
        <v>0</v>
      </c>
      <c r="F51" s="519">
        <v>0</v>
      </c>
      <c r="G51" s="517">
        <f t="shared" si="7"/>
        <v>0</v>
      </c>
      <c r="H51" s="394">
        <f t="shared" si="6"/>
        <v>1260000</v>
      </c>
      <c r="I51" s="384"/>
      <c r="J51" s="384"/>
      <c r="L51" s="435" t="s">
        <v>187</v>
      </c>
      <c r="M51" s="689">
        <v>0</v>
      </c>
      <c r="N51" s="434">
        <f t="shared" si="2"/>
        <v>0</v>
      </c>
      <c r="O51" s="434">
        <f t="shared" si="3"/>
        <v>0</v>
      </c>
    </row>
    <row r="52" spans="1:15" ht="12.75" customHeight="1" x14ac:dyDescent="0.2">
      <c r="A52" s="718"/>
      <c r="B52" s="390">
        <v>53204080000000</v>
      </c>
      <c r="C52" s="391" t="s">
        <v>51</v>
      </c>
      <c r="D52" s="517">
        <f t="shared" si="8"/>
        <v>210000</v>
      </c>
      <c r="E52" s="517">
        <v>0</v>
      </c>
      <c r="F52" s="519">
        <v>0</v>
      </c>
      <c r="G52" s="517">
        <f t="shared" si="7"/>
        <v>0</v>
      </c>
      <c r="H52" s="394">
        <f t="shared" si="6"/>
        <v>210000</v>
      </c>
      <c r="I52" s="384"/>
      <c r="J52" s="384"/>
      <c r="L52" s="391" t="s">
        <v>179</v>
      </c>
      <c r="M52" s="687">
        <v>0</v>
      </c>
      <c r="N52" s="434">
        <f t="shared" si="2"/>
        <v>0</v>
      </c>
      <c r="O52" s="434">
        <f t="shared" si="3"/>
        <v>0</v>
      </c>
    </row>
    <row r="53" spans="1:15" ht="12.75" customHeight="1" x14ac:dyDescent="0.2">
      <c r="A53" s="718"/>
      <c r="B53" s="390">
        <v>53214010000000</v>
      </c>
      <c r="C53" s="391" t="s">
        <v>52</v>
      </c>
      <c r="D53" s="520">
        <f>N50</f>
        <v>210000</v>
      </c>
      <c r="E53" s="520">
        <v>0</v>
      </c>
      <c r="F53" s="519">
        <v>0</v>
      </c>
      <c r="G53" s="517">
        <f t="shared" si="7"/>
        <v>0</v>
      </c>
      <c r="H53" s="394">
        <f t="shared" si="6"/>
        <v>210000</v>
      </c>
      <c r="I53" s="384"/>
      <c r="J53" s="384"/>
      <c r="L53" s="386" t="s">
        <v>55</v>
      </c>
      <c r="M53" s="691"/>
      <c r="N53" s="523"/>
      <c r="O53" s="523"/>
    </row>
    <row r="54" spans="1:15" ht="12.75" customHeight="1" x14ac:dyDescent="0.2">
      <c r="A54" s="718"/>
      <c r="B54" s="390">
        <v>53214040000000</v>
      </c>
      <c r="C54" s="391" t="s">
        <v>187</v>
      </c>
      <c r="D54" s="520">
        <f>N51</f>
        <v>0</v>
      </c>
      <c r="E54" s="520">
        <v>0</v>
      </c>
      <c r="F54" s="519">
        <v>0</v>
      </c>
      <c r="G54" s="517">
        <f t="shared" si="7"/>
        <v>0</v>
      </c>
      <c r="H54" s="394">
        <f t="shared" si="6"/>
        <v>0</v>
      </c>
      <c r="I54" s="384"/>
      <c r="J54" s="384"/>
      <c r="L54" s="391" t="s">
        <v>56</v>
      </c>
      <c r="M54" s="687">
        <v>0</v>
      </c>
      <c r="N54" s="434">
        <f t="shared" si="2"/>
        <v>0</v>
      </c>
      <c r="O54" s="434">
        <f t="shared" si="3"/>
        <v>0</v>
      </c>
    </row>
    <row r="55" spans="1:15" ht="12.75" customHeight="1" x14ac:dyDescent="0.2">
      <c r="A55" s="718"/>
      <c r="B55" s="431">
        <v>53204020100000</v>
      </c>
      <c r="C55" s="391" t="s">
        <v>179</v>
      </c>
      <c r="D55" s="517">
        <f>N52</f>
        <v>0</v>
      </c>
      <c r="E55" s="517">
        <v>0</v>
      </c>
      <c r="F55" s="519">
        <v>0</v>
      </c>
      <c r="G55" s="517">
        <f t="shared" si="7"/>
        <v>0</v>
      </c>
      <c r="H55" s="394">
        <f t="shared" si="6"/>
        <v>0</v>
      </c>
      <c r="I55" s="384"/>
      <c r="J55" s="384"/>
      <c r="L55" s="391" t="s">
        <v>57</v>
      </c>
      <c r="M55" s="687">
        <v>480000</v>
      </c>
      <c r="N55" s="434">
        <f t="shared" si="2"/>
        <v>336000</v>
      </c>
      <c r="O55" s="434">
        <f t="shared" si="3"/>
        <v>144000</v>
      </c>
    </row>
    <row r="56" spans="1:15" ht="12.75" customHeight="1" x14ac:dyDescent="0.2">
      <c r="A56" s="718"/>
      <c r="B56" s="385"/>
      <c r="C56" s="386" t="s">
        <v>55</v>
      </c>
      <c r="D56" s="387">
        <f>SUM(D57:D64)</f>
        <v>1211317.7999999998</v>
      </c>
      <c r="E56" s="527"/>
      <c r="F56" s="527"/>
      <c r="G56" s="387">
        <f>SUM(G57:G64)</f>
        <v>563850</v>
      </c>
      <c r="H56" s="389">
        <f>SUM(H57:H64)</f>
        <v>1775167.7999999998</v>
      </c>
      <c r="I56" s="384"/>
      <c r="J56" s="384"/>
      <c r="L56" s="391" t="s">
        <v>170</v>
      </c>
      <c r="M56" s="687">
        <v>0</v>
      </c>
      <c r="N56" s="434">
        <f t="shared" si="2"/>
        <v>0</v>
      </c>
      <c r="O56" s="434">
        <f t="shared" si="3"/>
        <v>0</v>
      </c>
    </row>
    <row r="57" spans="1:15" ht="12.75" customHeight="1" x14ac:dyDescent="0.2">
      <c r="A57" s="718"/>
      <c r="B57" s="390">
        <v>53207010000000</v>
      </c>
      <c r="C57" s="391" t="s">
        <v>56</v>
      </c>
      <c r="D57" s="517">
        <f>N54</f>
        <v>0</v>
      </c>
      <c r="E57" s="517">
        <v>0</v>
      </c>
      <c r="F57" s="518">
        <v>0</v>
      </c>
      <c r="G57" s="517">
        <f t="shared" si="7"/>
        <v>0</v>
      </c>
      <c r="H57" s="394">
        <f t="shared" si="6"/>
        <v>0</v>
      </c>
      <c r="I57" s="384"/>
      <c r="J57" s="384"/>
      <c r="L57" s="391" t="s">
        <v>188</v>
      </c>
      <c r="M57" s="687">
        <v>464000</v>
      </c>
      <c r="N57" s="434">
        <f t="shared" si="2"/>
        <v>324800</v>
      </c>
      <c r="O57" s="434">
        <f t="shared" si="3"/>
        <v>139200</v>
      </c>
    </row>
    <row r="58" spans="1:15" ht="12.75" customHeight="1" x14ac:dyDescent="0.2">
      <c r="A58" s="718"/>
      <c r="B58" s="390">
        <v>53207020000000</v>
      </c>
      <c r="C58" s="391" t="s">
        <v>57</v>
      </c>
      <c r="D58" s="517">
        <f t="shared" ref="D58:D60" si="9">N55</f>
        <v>336000</v>
      </c>
      <c r="E58" s="517">
        <v>0</v>
      </c>
      <c r="F58" s="518">
        <v>0</v>
      </c>
      <c r="G58" s="517">
        <f t="shared" si="7"/>
        <v>0</v>
      </c>
      <c r="H58" s="394">
        <f t="shared" si="6"/>
        <v>336000</v>
      </c>
      <c r="I58" s="384"/>
      <c r="J58" s="384"/>
      <c r="L58" s="391" t="s">
        <v>191</v>
      </c>
      <c r="M58" s="687">
        <v>0</v>
      </c>
      <c r="N58" s="434">
        <f t="shared" si="2"/>
        <v>0</v>
      </c>
      <c r="O58" s="434">
        <f t="shared" si="3"/>
        <v>0</v>
      </c>
    </row>
    <row r="59" spans="1:15" ht="12.75" customHeight="1" x14ac:dyDescent="0.2">
      <c r="A59" s="718"/>
      <c r="B59" s="390">
        <v>53208020000000</v>
      </c>
      <c r="C59" s="391" t="s">
        <v>170</v>
      </c>
      <c r="D59" s="517">
        <f t="shared" si="9"/>
        <v>0</v>
      </c>
      <c r="E59" s="517">
        <v>0</v>
      </c>
      <c r="F59" s="518">
        <v>0</v>
      </c>
      <c r="G59" s="517">
        <f t="shared" si="7"/>
        <v>0</v>
      </c>
      <c r="H59" s="394">
        <f t="shared" si="6"/>
        <v>0</v>
      </c>
      <c r="I59" s="384"/>
      <c r="J59" s="384"/>
      <c r="L59" s="391" t="s">
        <v>189</v>
      </c>
      <c r="M59" s="687">
        <v>0</v>
      </c>
      <c r="N59" s="434">
        <f t="shared" si="2"/>
        <v>0</v>
      </c>
      <c r="O59" s="434">
        <f t="shared" si="3"/>
        <v>0</v>
      </c>
    </row>
    <row r="60" spans="1:15" ht="12.75" customHeight="1" x14ac:dyDescent="0.2">
      <c r="A60" s="718"/>
      <c r="B60" s="390">
        <v>53208990000000</v>
      </c>
      <c r="C60" s="391" t="s">
        <v>188</v>
      </c>
      <c r="D60" s="517">
        <f t="shared" si="9"/>
        <v>324800</v>
      </c>
      <c r="E60" s="517">
        <v>0</v>
      </c>
      <c r="F60" s="518">
        <v>0</v>
      </c>
      <c r="G60" s="517">
        <f t="shared" si="7"/>
        <v>0</v>
      </c>
      <c r="H60" s="394">
        <f t="shared" si="6"/>
        <v>324800</v>
      </c>
      <c r="I60" s="384"/>
      <c r="J60" s="384"/>
      <c r="L60" s="391" t="s">
        <v>64</v>
      </c>
      <c r="M60" s="687">
        <v>786454</v>
      </c>
      <c r="N60" s="434">
        <f t="shared" si="2"/>
        <v>550517.79999999993</v>
      </c>
      <c r="O60" s="434">
        <f t="shared" si="3"/>
        <v>235936.19999999998</v>
      </c>
    </row>
    <row r="61" spans="1:15" ht="12.75" customHeight="1" x14ac:dyDescent="0.2">
      <c r="A61" s="718"/>
      <c r="B61" s="431">
        <v>53210020300000</v>
      </c>
      <c r="C61" s="391" t="s">
        <v>190</v>
      </c>
      <c r="D61" s="397">
        <v>0</v>
      </c>
      <c r="E61" s="397">
        <v>7518</v>
      </c>
      <c r="F61" s="513">
        <v>75</v>
      </c>
      <c r="G61" s="393">
        <f t="shared" si="7"/>
        <v>563850</v>
      </c>
      <c r="H61" s="394">
        <f t="shared" si="6"/>
        <v>563850</v>
      </c>
      <c r="I61" s="384"/>
      <c r="J61" s="384"/>
      <c r="L61" s="386" t="s">
        <v>65</v>
      </c>
      <c r="M61" s="666"/>
      <c r="N61" s="665"/>
      <c r="O61" s="665"/>
    </row>
    <row r="62" spans="1:15" ht="12.75" customHeight="1" x14ac:dyDescent="0.2">
      <c r="A62" s="718"/>
      <c r="B62" s="390">
        <v>53208990000000</v>
      </c>
      <c r="C62" s="391" t="s">
        <v>191</v>
      </c>
      <c r="D62" s="393">
        <f>N58</f>
        <v>0</v>
      </c>
      <c r="E62" s="393">
        <v>0</v>
      </c>
      <c r="F62" s="515">
        <v>0</v>
      </c>
      <c r="G62" s="393">
        <f t="shared" si="7"/>
        <v>0</v>
      </c>
      <c r="H62" s="394">
        <f t="shared" si="6"/>
        <v>0</v>
      </c>
      <c r="I62" s="384"/>
      <c r="J62" s="384"/>
      <c r="L62" s="391" t="s">
        <v>99</v>
      </c>
      <c r="M62" s="687">
        <v>0</v>
      </c>
      <c r="N62" s="434">
        <f t="shared" si="2"/>
        <v>0</v>
      </c>
      <c r="O62" s="434">
        <f t="shared" si="3"/>
        <v>0</v>
      </c>
    </row>
    <row r="63" spans="1:15" ht="12.75" customHeight="1" x14ac:dyDescent="0.2">
      <c r="A63" s="718"/>
      <c r="B63" s="390">
        <v>53209990000000</v>
      </c>
      <c r="C63" s="391" t="s">
        <v>189</v>
      </c>
      <c r="D63" s="393">
        <f t="shared" ref="D63:D64" si="10">N59</f>
        <v>0</v>
      </c>
      <c r="E63" s="393">
        <v>0</v>
      </c>
      <c r="F63" s="515">
        <v>0</v>
      </c>
      <c r="G63" s="393">
        <f t="shared" si="7"/>
        <v>0</v>
      </c>
      <c r="H63" s="394">
        <f t="shared" si="6"/>
        <v>0</v>
      </c>
      <c r="I63" s="384"/>
      <c r="J63" s="384"/>
      <c r="L63" s="391" t="s">
        <v>100</v>
      </c>
      <c r="M63" s="687">
        <v>0</v>
      </c>
      <c r="N63" s="434">
        <f t="shared" si="2"/>
        <v>0</v>
      </c>
      <c r="O63" s="434">
        <f t="shared" si="3"/>
        <v>0</v>
      </c>
    </row>
    <row r="64" spans="1:15" ht="12.75" customHeight="1" x14ac:dyDescent="0.2">
      <c r="A64" s="718"/>
      <c r="B64" s="390">
        <v>53210020100000</v>
      </c>
      <c r="C64" s="391" t="s">
        <v>64</v>
      </c>
      <c r="D64" s="393">
        <f t="shared" si="10"/>
        <v>550517.79999999993</v>
      </c>
      <c r="E64" s="393">
        <v>0</v>
      </c>
      <c r="F64" s="515">
        <v>0</v>
      </c>
      <c r="G64" s="393">
        <f t="shared" si="7"/>
        <v>0</v>
      </c>
      <c r="H64" s="394">
        <f t="shared" si="6"/>
        <v>550517.79999999993</v>
      </c>
      <c r="I64" s="384"/>
      <c r="J64" s="384"/>
      <c r="L64" s="391" t="s">
        <v>192</v>
      </c>
      <c r="M64" s="687">
        <v>0</v>
      </c>
      <c r="N64" s="434">
        <f t="shared" si="2"/>
        <v>0</v>
      </c>
      <c r="O64" s="434">
        <f t="shared" si="3"/>
        <v>0</v>
      </c>
    </row>
    <row r="65" spans="1:15" ht="12.75" customHeight="1" x14ac:dyDescent="0.2">
      <c r="A65" s="718"/>
      <c r="B65" s="385"/>
      <c r="C65" s="386" t="s">
        <v>65</v>
      </c>
      <c r="D65" s="387">
        <f>SUM(D66:D72)</f>
        <v>175000</v>
      </c>
      <c r="E65" s="527"/>
      <c r="F65" s="527"/>
      <c r="G65" s="387">
        <f>SUM(G66:G72)</f>
        <v>0</v>
      </c>
      <c r="H65" s="389">
        <f>SUM(H66:H72)</f>
        <v>175000</v>
      </c>
      <c r="I65" s="384"/>
      <c r="J65" s="384"/>
      <c r="L65" s="391" t="s">
        <v>102</v>
      </c>
      <c r="M65" s="687">
        <v>0</v>
      </c>
      <c r="N65" s="434">
        <f t="shared" si="2"/>
        <v>0</v>
      </c>
      <c r="O65" s="434">
        <f t="shared" si="3"/>
        <v>0</v>
      </c>
    </row>
    <row r="66" spans="1:15" ht="12.75" customHeight="1" x14ac:dyDescent="0.2">
      <c r="A66" s="718"/>
      <c r="B66" s="390">
        <v>53206030000000</v>
      </c>
      <c r="C66" s="391" t="s">
        <v>99</v>
      </c>
      <c r="D66" s="517">
        <f>N62</f>
        <v>0</v>
      </c>
      <c r="E66" s="517">
        <v>0</v>
      </c>
      <c r="F66" s="518">
        <v>0</v>
      </c>
      <c r="G66" s="393">
        <f t="shared" si="7"/>
        <v>0</v>
      </c>
      <c r="H66" s="394">
        <f t="shared" si="6"/>
        <v>0</v>
      </c>
      <c r="I66" s="384"/>
      <c r="J66" s="384"/>
      <c r="L66" s="435" t="s">
        <v>193</v>
      </c>
      <c r="M66" s="687">
        <v>0</v>
      </c>
      <c r="N66" s="434">
        <f t="shared" si="2"/>
        <v>0</v>
      </c>
      <c r="O66" s="434">
        <f t="shared" si="3"/>
        <v>0</v>
      </c>
    </row>
    <row r="67" spans="1:15" ht="12.75" customHeight="1" x14ac:dyDescent="0.2">
      <c r="A67" s="718"/>
      <c r="B67" s="390">
        <v>53206040000000</v>
      </c>
      <c r="C67" s="391" t="s">
        <v>100</v>
      </c>
      <c r="D67" s="517">
        <f t="shared" ref="D67:D72" si="11">N63</f>
        <v>0</v>
      </c>
      <c r="E67" s="517">
        <v>0</v>
      </c>
      <c r="F67" s="518">
        <v>0</v>
      </c>
      <c r="G67" s="393">
        <f t="shared" si="7"/>
        <v>0</v>
      </c>
      <c r="H67" s="394">
        <f t="shared" si="6"/>
        <v>0</v>
      </c>
      <c r="I67" s="384"/>
      <c r="J67" s="384"/>
      <c r="L67" s="391" t="s">
        <v>104</v>
      </c>
      <c r="M67" s="687">
        <v>0</v>
      </c>
      <c r="N67" s="434">
        <f t="shared" si="2"/>
        <v>0</v>
      </c>
      <c r="O67" s="434">
        <f t="shared" si="3"/>
        <v>0</v>
      </c>
    </row>
    <row r="68" spans="1:15" ht="12.75" customHeight="1" x14ac:dyDescent="0.2">
      <c r="A68" s="718"/>
      <c r="B68" s="390">
        <v>53206060000000</v>
      </c>
      <c r="C68" s="391" t="s">
        <v>192</v>
      </c>
      <c r="D68" s="517">
        <f t="shared" si="11"/>
        <v>0</v>
      </c>
      <c r="E68" s="517">
        <v>0</v>
      </c>
      <c r="F68" s="518">
        <v>0</v>
      </c>
      <c r="G68" s="393">
        <f t="shared" si="7"/>
        <v>0</v>
      </c>
      <c r="H68" s="394">
        <f t="shared" si="6"/>
        <v>0</v>
      </c>
      <c r="I68" s="384"/>
      <c r="J68" s="384"/>
      <c r="L68" s="391" t="s">
        <v>214</v>
      </c>
      <c r="M68" s="687">
        <v>250000</v>
      </c>
      <c r="N68" s="434">
        <f t="shared" si="2"/>
        <v>175000</v>
      </c>
      <c r="O68" s="434">
        <f t="shared" si="3"/>
        <v>75000</v>
      </c>
    </row>
    <row r="69" spans="1:15" ht="12.75" customHeight="1" x14ac:dyDescent="0.2">
      <c r="A69" s="718"/>
      <c r="B69" s="390">
        <v>53206070000000</v>
      </c>
      <c r="C69" s="391" t="s">
        <v>102</v>
      </c>
      <c r="D69" s="517">
        <f t="shared" si="11"/>
        <v>0</v>
      </c>
      <c r="E69" s="517">
        <v>0</v>
      </c>
      <c r="F69" s="518">
        <v>0</v>
      </c>
      <c r="G69" s="393">
        <f t="shared" si="7"/>
        <v>0</v>
      </c>
      <c r="H69" s="394">
        <f t="shared" si="6"/>
        <v>0</v>
      </c>
      <c r="I69" s="384"/>
      <c r="J69" s="384"/>
    </row>
    <row r="70" spans="1:15" ht="12.75" customHeight="1" x14ac:dyDescent="0.2">
      <c r="A70" s="718"/>
      <c r="B70" s="390">
        <v>53206990000000</v>
      </c>
      <c r="C70" s="391" t="s">
        <v>193</v>
      </c>
      <c r="D70" s="517">
        <f t="shared" si="11"/>
        <v>0</v>
      </c>
      <c r="E70" s="517">
        <v>0</v>
      </c>
      <c r="F70" s="518">
        <v>0</v>
      </c>
      <c r="G70" s="393">
        <f t="shared" si="7"/>
        <v>0</v>
      </c>
      <c r="H70" s="394">
        <f t="shared" si="6"/>
        <v>0</v>
      </c>
      <c r="I70" s="384"/>
      <c r="J70" s="384"/>
    </row>
    <row r="71" spans="1:15" ht="12.75" customHeight="1" x14ac:dyDescent="0.2">
      <c r="A71" s="718"/>
      <c r="B71" s="390">
        <v>53208030000000</v>
      </c>
      <c r="C71" s="391" t="s">
        <v>104</v>
      </c>
      <c r="D71" s="517">
        <f t="shared" si="11"/>
        <v>0</v>
      </c>
      <c r="E71" s="517">
        <v>0</v>
      </c>
      <c r="F71" s="518">
        <v>0</v>
      </c>
      <c r="G71" s="393">
        <f t="shared" si="7"/>
        <v>0</v>
      </c>
      <c r="H71" s="394">
        <f t="shared" si="6"/>
        <v>0</v>
      </c>
      <c r="I71" s="384"/>
      <c r="J71" s="384"/>
    </row>
    <row r="72" spans="1:15" ht="12.75" customHeight="1" x14ac:dyDescent="0.2">
      <c r="A72" s="718"/>
      <c r="B72" s="390">
        <v>53206990000000</v>
      </c>
      <c r="C72" s="391" t="s">
        <v>214</v>
      </c>
      <c r="D72" s="517">
        <f t="shared" si="11"/>
        <v>175000</v>
      </c>
      <c r="E72" s="517">
        <v>0</v>
      </c>
      <c r="F72" s="518">
        <v>0</v>
      </c>
      <c r="G72" s="393">
        <f t="shared" si="7"/>
        <v>0</v>
      </c>
      <c r="H72" s="394">
        <f>D72+G72</f>
        <v>175000</v>
      </c>
      <c r="I72" s="384"/>
      <c r="J72" s="384"/>
    </row>
    <row r="73" spans="1:15" ht="12.75" customHeight="1" x14ac:dyDescent="0.2">
      <c r="A73" s="718"/>
      <c r="B73" s="385"/>
      <c r="C73" s="386" t="s">
        <v>66</v>
      </c>
      <c r="D73" s="387">
        <f>SUM(D74:D74)</f>
        <v>0</v>
      </c>
      <c r="E73" s="527"/>
      <c r="F73" s="527"/>
      <c r="G73" s="387">
        <f>SUM(G74:G74)</f>
        <v>1125000</v>
      </c>
      <c r="H73" s="389">
        <f>SUM(H74:H74)</f>
        <v>1125000</v>
      </c>
      <c r="I73" s="384"/>
      <c r="J73" s="384"/>
    </row>
    <row r="74" spans="1:15" ht="12.75" customHeight="1" x14ac:dyDescent="0.2">
      <c r="A74" s="718"/>
      <c r="B74" s="432"/>
      <c r="C74" s="405" t="s">
        <v>215</v>
      </c>
      <c r="D74" s="241"/>
      <c r="E74" s="241">
        <v>15000</v>
      </c>
      <c r="F74" s="512">
        <v>75</v>
      </c>
      <c r="G74" s="393">
        <f t="shared" si="7"/>
        <v>1125000</v>
      </c>
      <c r="H74" s="406">
        <f t="shared" si="6"/>
        <v>1125000</v>
      </c>
      <c r="I74" s="402" t="s">
        <v>216</v>
      </c>
      <c r="J74" s="403">
        <f>+H72+H71+H70+H69+H68+H67+H66+H64+H63+H62+H61+H60+H59+H58+H57+H55+H52+H51+H50+H49+H48+H46+H44+H43+H37+H36+H35+H33+H32+H31+H30+H29+H28+H27+H26+H25+H24+H23</f>
        <v>9429289.4499999993</v>
      </c>
    </row>
    <row r="75" spans="1:15" ht="13.5" collapsed="1" thickBot="1" x14ac:dyDescent="0.25">
      <c r="A75" s="719"/>
      <c r="B75" s="433"/>
      <c r="C75" s="407" t="s">
        <v>105</v>
      </c>
      <c r="D75" s="408">
        <f>SUM(D12,D39)</f>
        <v>60825412.609299995</v>
      </c>
      <c r="E75" s="409"/>
      <c r="F75" s="409"/>
      <c r="G75" s="408">
        <f>SUM(G12,G39)</f>
        <v>16120500</v>
      </c>
      <c r="H75" s="404">
        <f>SUM(H12,H39)</f>
        <v>79089762.609300002</v>
      </c>
      <c r="I75" s="410" t="s">
        <v>217</v>
      </c>
      <c r="J75" s="411">
        <f>+H75-J74</f>
        <v>69660473.159299999</v>
      </c>
    </row>
    <row r="76" spans="1:15" ht="15.75" customHeight="1" x14ac:dyDescent="0.2">
      <c r="A76" s="796" t="s">
        <v>242</v>
      </c>
      <c r="B76" s="426"/>
      <c r="C76" s="380" t="s">
        <v>11</v>
      </c>
      <c r="D76" s="381">
        <f>SUM(D77+D82)</f>
        <v>33633574.719000004</v>
      </c>
      <c r="E76" s="511"/>
      <c r="F76" s="511"/>
      <c r="G76" s="382">
        <f>SUM(G77,G82)</f>
        <v>2217600</v>
      </c>
      <c r="H76" s="383">
        <f>SUM(H77,H82)</f>
        <v>35851174.719000004</v>
      </c>
      <c r="I76" s="384"/>
      <c r="J76" s="384"/>
    </row>
    <row r="77" spans="1:15" ht="12.75" customHeight="1" x14ac:dyDescent="0.2">
      <c r="A77" s="718"/>
      <c r="B77" s="385"/>
      <c r="C77" s="386" t="s">
        <v>12</v>
      </c>
      <c r="D77" s="387">
        <f>SUM(D78:D81)</f>
        <v>27455836.869000003</v>
      </c>
      <c r="E77" s="527"/>
      <c r="F77" s="527"/>
      <c r="G77" s="388">
        <f>SUM(G78:G81)</f>
        <v>0</v>
      </c>
      <c r="H77" s="389">
        <f>SUM(H78:H81)</f>
        <v>27455836.869000003</v>
      </c>
      <c r="I77" s="384"/>
      <c r="J77" s="384"/>
    </row>
    <row r="78" spans="1:15" ht="12.75" customHeight="1" x14ac:dyDescent="0.2">
      <c r="A78" s="718"/>
      <c r="B78" s="390">
        <v>53103040100000</v>
      </c>
      <c r="C78" s="391" t="s">
        <v>95</v>
      </c>
      <c r="D78" s="392">
        <f>+'F) Remuneraciones'!L23</f>
        <v>27183996.900000002</v>
      </c>
      <c r="E78" s="393">
        <v>0</v>
      </c>
      <c r="F78" s="516">
        <v>0</v>
      </c>
      <c r="G78" s="393">
        <f>E78*F78</f>
        <v>0</v>
      </c>
      <c r="H78" s="394">
        <f>D78+G78</f>
        <v>27183996.900000002</v>
      </c>
      <c r="I78" s="384"/>
      <c r="J78" s="384"/>
    </row>
    <row r="79" spans="1:15" ht="12.75" customHeight="1" x14ac:dyDescent="0.2">
      <c r="A79" s="718"/>
      <c r="B79" s="390">
        <v>53103050000000</v>
      </c>
      <c r="C79" s="391" t="s">
        <v>171</v>
      </c>
      <c r="D79" s="241">
        <v>0</v>
      </c>
      <c r="E79" s="243">
        <v>0</v>
      </c>
      <c r="F79" s="242">
        <v>0</v>
      </c>
      <c r="G79" s="393">
        <f>E79*F79</f>
        <v>0</v>
      </c>
      <c r="H79" s="394">
        <f>D79+G79</f>
        <v>0</v>
      </c>
      <c r="I79" s="384"/>
      <c r="J79" s="384"/>
    </row>
    <row r="80" spans="1:15" ht="12.75" customHeight="1" x14ac:dyDescent="0.2">
      <c r="A80" s="718"/>
      <c r="B80" s="431">
        <v>53103040400000</v>
      </c>
      <c r="C80" s="395" t="s">
        <v>172</v>
      </c>
      <c r="D80" s="241">
        <f>D78*0.01</f>
        <v>271839.96900000004</v>
      </c>
      <c r="E80" s="243">
        <v>0</v>
      </c>
      <c r="F80" s="242">
        <v>0</v>
      </c>
      <c r="G80" s="393">
        <f>E80*F80</f>
        <v>0</v>
      </c>
      <c r="H80" s="394">
        <f>D80+G80</f>
        <v>271839.96900000004</v>
      </c>
      <c r="I80" s="384"/>
      <c r="J80" s="384"/>
    </row>
    <row r="81" spans="1:10" ht="12.75" customHeight="1" x14ac:dyDescent="0.2">
      <c r="A81" s="718"/>
      <c r="B81" s="390">
        <v>53103080010000</v>
      </c>
      <c r="C81" s="391" t="s">
        <v>173</v>
      </c>
      <c r="D81" s="241">
        <v>0</v>
      </c>
      <c r="E81" s="243">
        <v>0</v>
      </c>
      <c r="F81" s="242">
        <v>0</v>
      </c>
      <c r="G81" s="393">
        <f>E81*F81</f>
        <v>0</v>
      </c>
      <c r="H81" s="394">
        <f>D81+G81</f>
        <v>0</v>
      </c>
      <c r="I81" s="384"/>
      <c r="J81" s="384"/>
    </row>
    <row r="82" spans="1:10" ht="12.75" customHeight="1" x14ac:dyDescent="0.2">
      <c r="A82" s="718"/>
      <c r="B82" s="385"/>
      <c r="C82" s="386" t="s">
        <v>16</v>
      </c>
      <c r="D82" s="387">
        <f>SUM(D83:D102)</f>
        <v>6177737.8499999996</v>
      </c>
      <c r="E82" s="527"/>
      <c r="F82" s="527"/>
      <c r="G82" s="387">
        <f>SUM(G83:G102)</f>
        <v>2217600</v>
      </c>
      <c r="H82" s="389">
        <f>SUM(H83:H102)</f>
        <v>8395337.8500000015</v>
      </c>
      <c r="I82" s="692">
        <f>+H82+H109+H111+H120</f>
        <v>9799726.0500000007</v>
      </c>
      <c r="J82" s="384"/>
    </row>
    <row r="83" spans="1:10" ht="12.75" customHeight="1" x14ac:dyDescent="0.2">
      <c r="A83" s="718"/>
      <c r="B83" s="390">
        <v>53201010100000</v>
      </c>
      <c r="C83" s="396" t="s">
        <v>174</v>
      </c>
      <c r="D83" s="241">
        <v>0</v>
      </c>
      <c r="E83" s="243">
        <v>2400</v>
      </c>
      <c r="F83" s="242">
        <v>924</v>
      </c>
      <c r="G83" s="393">
        <f t="shared" ref="G83:G102" si="12">E83*F83</f>
        <v>2217600</v>
      </c>
      <c r="H83" s="394">
        <f t="shared" ref="H83:H86" si="13">D83+G83</f>
        <v>2217600</v>
      </c>
      <c r="I83" s="384"/>
      <c r="J83" s="384"/>
    </row>
    <row r="84" spans="1:10" ht="12.75" customHeight="1" x14ac:dyDescent="0.2">
      <c r="A84" s="718"/>
      <c r="B84" s="390">
        <v>53201010100000</v>
      </c>
      <c r="C84" s="396" t="s">
        <v>175</v>
      </c>
      <c r="D84" s="241">
        <f>(1100*14*21)*11</f>
        <v>3557400</v>
      </c>
      <c r="E84" s="243">
        <v>0</v>
      </c>
      <c r="F84" s="242">
        <v>0</v>
      </c>
      <c r="G84" s="393">
        <f t="shared" si="12"/>
        <v>0</v>
      </c>
      <c r="H84" s="394">
        <f t="shared" si="13"/>
        <v>3557400</v>
      </c>
      <c r="I84" s="384"/>
      <c r="J84" s="384"/>
    </row>
    <row r="85" spans="1:10" ht="12.75" customHeight="1" x14ac:dyDescent="0.2">
      <c r="A85" s="718"/>
      <c r="B85" s="390">
        <v>53201010100000</v>
      </c>
      <c r="C85" s="396" t="s">
        <v>176</v>
      </c>
      <c r="D85" s="241">
        <v>0</v>
      </c>
      <c r="E85" s="243">
        <v>0</v>
      </c>
      <c r="F85" s="242">
        <v>0</v>
      </c>
      <c r="G85" s="393">
        <f t="shared" si="12"/>
        <v>0</v>
      </c>
      <c r="H85" s="394">
        <f t="shared" si="13"/>
        <v>0</v>
      </c>
      <c r="I85" s="384"/>
      <c r="J85" s="384"/>
    </row>
    <row r="86" spans="1:10" ht="12.75" customHeight="1" x14ac:dyDescent="0.2">
      <c r="A86" s="718"/>
      <c r="B86" s="390">
        <v>53202010100000</v>
      </c>
      <c r="C86" s="391" t="s">
        <v>177</v>
      </c>
      <c r="D86" s="393">
        <f>+O21</f>
        <v>105000</v>
      </c>
      <c r="E86" s="393">
        <v>0</v>
      </c>
      <c r="F86" s="529">
        <v>0</v>
      </c>
      <c r="G86" s="393">
        <f t="shared" si="12"/>
        <v>0</v>
      </c>
      <c r="H86" s="394">
        <f t="shared" si="13"/>
        <v>105000</v>
      </c>
      <c r="I86" s="384"/>
      <c r="J86" s="384"/>
    </row>
    <row r="87" spans="1:10" ht="12.75" customHeight="1" x14ac:dyDescent="0.2">
      <c r="A87" s="718"/>
      <c r="B87" s="390">
        <v>53203010100000</v>
      </c>
      <c r="C87" s="391" t="s">
        <v>19</v>
      </c>
      <c r="D87" s="393">
        <f t="shared" ref="D87:D102" si="14">+O22</f>
        <v>0</v>
      </c>
      <c r="E87" s="393">
        <v>0</v>
      </c>
      <c r="F87" s="529">
        <v>0</v>
      </c>
      <c r="G87" s="393">
        <f t="shared" si="12"/>
        <v>0</v>
      </c>
      <c r="H87" s="394">
        <f>D87+G87</f>
        <v>0</v>
      </c>
      <c r="I87" s="384"/>
      <c r="J87" s="384"/>
    </row>
    <row r="88" spans="1:10" ht="12.75" customHeight="1" x14ac:dyDescent="0.2">
      <c r="A88" s="718"/>
      <c r="B88" s="390">
        <v>53203030000000</v>
      </c>
      <c r="C88" s="391" t="s">
        <v>178</v>
      </c>
      <c r="D88" s="393">
        <f t="shared" si="14"/>
        <v>0</v>
      </c>
      <c r="E88" s="393">
        <v>0</v>
      </c>
      <c r="F88" s="529">
        <v>0</v>
      </c>
      <c r="G88" s="393">
        <f t="shared" si="12"/>
        <v>0</v>
      </c>
      <c r="H88" s="394">
        <f t="shared" ref="H88" si="15">D88+G88</f>
        <v>0</v>
      </c>
      <c r="I88" s="384"/>
      <c r="J88" s="384"/>
    </row>
    <row r="89" spans="1:10" ht="12.75" customHeight="1" x14ac:dyDescent="0.2">
      <c r="A89" s="718"/>
      <c r="B89" s="390">
        <v>53204030000000</v>
      </c>
      <c r="C89" s="391" t="s">
        <v>212</v>
      </c>
      <c r="D89" s="393">
        <f t="shared" si="14"/>
        <v>37655.4</v>
      </c>
      <c r="E89" s="393">
        <v>0</v>
      </c>
      <c r="F89" s="529">
        <v>0</v>
      </c>
      <c r="G89" s="393">
        <f t="shared" si="12"/>
        <v>0</v>
      </c>
      <c r="H89" s="394">
        <f>D89+G89</f>
        <v>37655.4</v>
      </c>
      <c r="I89" s="384"/>
      <c r="J89" s="384"/>
    </row>
    <row r="90" spans="1:10" ht="12.75" customHeight="1" x14ac:dyDescent="0.2">
      <c r="A90" s="718"/>
      <c r="B90" s="390">
        <v>53204100100001</v>
      </c>
      <c r="C90" s="391" t="s">
        <v>22</v>
      </c>
      <c r="D90" s="393">
        <f t="shared" si="14"/>
        <v>0</v>
      </c>
      <c r="E90" s="393">
        <v>0</v>
      </c>
      <c r="F90" s="529">
        <v>0</v>
      </c>
      <c r="G90" s="393">
        <f t="shared" si="12"/>
        <v>0</v>
      </c>
      <c r="H90" s="394">
        <f t="shared" ref="H90:H102" si="16">D90+G90</f>
        <v>0</v>
      </c>
      <c r="I90" s="384"/>
      <c r="J90" s="384"/>
    </row>
    <row r="91" spans="1:10" ht="12.75" customHeight="1" x14ac:dyDescent="0.2">
      <c r="A91" s="718"/>
      <c r="B91" s="390">
        <v>53204130100000</v>
      </c>
      <c r="C91" s="391" t="s">
        <v>180</v>
      </c>
      <c r="D91" s="393">
        <f t="shared" si="14"/>
        <v>0</v>
      </c>
      <c r="E91" s="393">
        <v>0</v>
      </c>
      <c r="F91" s="529">
        <v>0</v>
      </c>
      <c r="G91" s="393">
        <f t="shared" si="12"/>
        <v>0</v>
      </c>
      <c r="H91" s="394">
        <f t="shared" si="16"/>
        <v>0</v>
      </c>
      <c r="I91" s="384"/>
      <c r="J91" s="384"/>
    </row>
    <row r="92" spans="1:10" ht="12.75" customHeight="1" x14ac:dyDescent="0.2">
      <c r="A92" s="718"/>
      <c r="B92" s="390">
        <v>53205010100000</v>
      </c>
      <c r="C92" s="391" t="s">
        <v>24</v>
      </c>
      <c r="D92" s="393">
        <f t="shared" si="14"/>
        <v>353502</v>
      </c>
      <c r="E92" s="393">
        <v>0</v>
      </c>
      <c r="F92" s="529">
        <v>0</v>
      </c>
      <c r="G92" s="393">
        <f t="shared" si="12"/>
        <v>0</v>
      </c>
      <c r="H92" s="394">
        <f t="shared" si="16"/>
        <v>353502</v>
      </c>
      <c r="I92" s="384"/>
      <c r="J92" s="384"/>
    </row>
    <row r="93" spans="1:10" ht="12.75" customHeight="1" x14ac:dyDescent="0.2">
      <c r="A93" s="718"/>
      <c r="B93" s="390">
        <v>53205020100000</v>
      </c>
      <c r="C93" s="391" t="s">
        <v>25</v>
      </c>
      <c r="D93" s="393">
        <f t="shared" si="14"/>
        <v>923256.45</v>
      </c>
      <c r="E93" s="393">
        <v>0</v>
      </c>
      <c r="F93" s="529">
        <v>0</v>
      </c>
      <c r="G93" s="393">
        <f t="shared" si="12"/>
        <v>0</v>
      </c>
      <c r="H93" s="394">
        <f t="shared" si="16"/>
        <v>923256.45</v>
      </c>
      <c r="I93" s="384"/>
      <c r="J93" s="384"/>
    </row>
    <row r="94" spans="1:10" ht="12.75" customHeight="1" x14ac:dyDescent="0.2">
      <c r="A94" s="718"/>
      <c r="B94" s="390">
        <v>53205030100000</v>
      </c>
      <c r="C94" s="391" t="s">
        <v>26</v>
      </c>
      <c r="D94" s="393">
        <f t="shared" si="14"/>
        <v>258324</v>
      </c>
      <c r="E94" s="393">
        <v>0</v>
      </c>
      <c r="F94" s="529">
        <v>0</v>
      </c>
      <c r="G94" s="393">
        <f t="shared" si="12"/>
        <v>0</v>
      </c>
      <c r="H94" s="394">
        <f t="shared" si="16"/>
        <v>258324</v>
      </c>
      <c r="I94" s="384"/>
      <c r="J94" s="384"/>
    </row>
    <row r="95" spans="1:10" ht="12.75" customHeight="1" x14ac:dyDescent="0.2">
      <c r="A95" s="718"/>
      <c r="B95" s="390">
        <v>53205050100000</v>
      </c>
      <c r="C95" s="391" t="s">
        <v>27</v>
      </c>
      <c r="D95" s="393">
        <f t="shared" si="14"/>
        <v>0</v>
      </c>
      <c r="E95" s="393">
        <v>0</v>
      </c>
      <c r="F95" s="529">
        <v>0</v>
      </c>
      <c r="G95" s="393">
        <f t="shared" si="12"/>
        <v>0</v>
      </c>
      <c r="H95" s="394">
        <f t="shared" si="16"/>
        <v>0</v>
      </c>
      <c r="I95" s="384"/>
      <c r="J95" s="384"/>
    </row>
    <row r="96" spans="1:10" ht="12.75" customHeight="1" x14ac:dyDescent="0.2">
      <c r="A96" s="718"/>
      <c r="B96" s="390">
        <v>53205070100000</v>
      </c>
      <c r="C96" s="391" t="s">
        <v>29</v>
      </c>
      <c r="D96" s="393">
        <f t="shared" si="14"/>
        <v>192600</v>
      </c>
      <c r="E96" s="393">
        <v>0</v>
      </c>
      <c r="F96" s="529">
        <v>0</v>
      </c>
      <c r="G96" s="393">
        <f t="shared" si="12"/>
        <v>0</v>
      </c>
      <c r="H96" s="394">
        <f t="shared" si="16"/>
        <v>192600</v>
      </c>
      <c r="I96" s="384"/>
      <c r="J96" s="384"/>
    </row>
    <row r="97" spans="1:10" ht="12.75" customHeight="1" x14ac:dyDescent="0.2">
      <c r="A97" s="718"/>
      <c r="B97" s="390">
        <v>53208010100000</v>
      </c>
      <c r="C97" s="391" t="s">
        <v>30</v>
      </c>
      <c r="D97" s="393">
        <f t="shared" si="14"/>
        <v>0</v>
      </c>
      <c r="E97" s="393">
        <v>0</v>
      </c>
      <c r="F97" s="529">
        <v>0</v>
      </c>
      <c r="G97" s="393">
        <f t="shared" si="12"/>
        <v>0</v>
      </c>
      <c r="H97" s="394">
        <f t="shared" si="16"/>
        <v>0</v>
      </c>
      <c r="I97" s="384"/>
      <c r="J97" s="384"/>
    </row>
    <row r="98" spans="1:10" ht="12.75" customHeight="1" x14ac:dyDescent="0.2">
      <c r="A98" s="718"/>
      <c r="B98" s="390">
        <v>53208070100001</v>
      </c>
      <c r="C98" s="391" t="s">
        <v>31</v>
      </c>
      <c r="D98" s="393">
        <f t="shared" si="14"/>
        <v>0</v>
      </c>
      <c r="E98" s="393">
        <v>0</v>
      </c>
      <c r="F98" s="529">
        <v>0</v>
      </c>
      <c r="G98" s="393">
        <f t="shared" si="12"/>
        <v>0</v>
      </c>
      <c r="H98" s="394">
        <f t="shared" si="16"/>
        <v>0</v>
      </c>
      <c r="I98" s="384"/>
      <c r="J98" s="384"/>
    </row>
    <row r="99" spans="1:10" ht="12.75" customHeight="1" x14ac:dyDescent="0.2">
      <c r="A99" s="718"/>
      <c r="B99" s="390">
        <v>53208100100001</v>
      </c>
      <c r="C99" s="391" t="s">
        <v>181</v>
      </c>
      <c r="D99" s="393">
        <f t="shared" si="14"/>
        <v>0</v>
      </c>
      <c r="E99" s="393">
        <v>0</v>
      </c>
      <c r="F99" s="529">
        <v>0</v>
      </c>
      <c r="G99" s="393">
        <f t="shared" si="12"/>
        <v>0</v>
      </c>
      <c r="H99" s="394">
        <f t="shared" si="16"/>
        <v>0</v>
      </c>
      <c r="I99" s="384"/>
      <c r="J99" s="384"/>
    </row>
    <row r="100" spans="1:10" ht="12.75" customHeight="1" x14ac:dyDescent="0.2">
      <c r="A100" s="718"/>
      <c r="B100" s="390">
        <v>53211030000000</v>
      </c>
      <c r="C100" s="391" t="s">
        <v>32</v>
      </c>
      <c r="D100" s="393">
        <f t="shared" si="14"/>
        <v>0</v>
      </c>
      <c r="E100" s="393">
        <v>0</v>
      </c>
      <c r="F100" s="529">
        <v>0</v>
      </c>
      <c r="G100" s="393">
        <f t="shared" si="12"/>
        <v>0</v>
      </c>
      <c r="H100" s="394">
        <f t="shared" si="16"/>
        <v>0</v>
      </c>
      <c r="I100" s="384"/>
      <c r="J100" s="384"/>
    </row>
    <row r="101" spans="1:10" ht="12.75" customHeight="1" x14ac:dyDescent="0.2">
      <c r="A101" s="718"/>
      <c r="B101" s="390">
        <v>53212020100000</v>
      </c>
      <c r="C101" s="391" t="s">
        <v>182</v>
      </c>
      <c r="D101" s="393">
        <f t="shared" si="14"/>
        <v>750000</v>
      </c>
      <c r="E101" s="393">
        <v>0</v>
      </c>
      <c r="F101" s="529">
        <v>0</v>
      </c>
      <c r="G101" s="393">
        <f t="shared" si="12"/>
        <v>0</v>
      </c>
      <c r="H101" s="394">
        <f t="shared" si="16"/>
        <v>750000</v>
      </c>
      <c r="I101" s="384"/>
      <c r="J101" s="384"/>
    </row>
    <row r="102" spans="1:10" ht="12.75" customHeight="1" x14ac:dyDescent="0.2">
      <c r="A102" s="718"/>
      <c r="B102" s="390">
        <v>53214020000000</v>
      </c>
      <c r="C102" s="391" t="s">
        <v>183</v>
      </c>
      <c r="D102" s="393">
        <f t="shared" si="14"/>
        <v>0</v>
      </c>
      <c r="E102" s="393">
        <v>0</v>
      </c>
      <c r="F102" s="529">
        <v>0</v>
      </c>
      <c r="G102" s="393">
        <f t="shared" si="12"/>
        <v>0</v>
      </c>
      <c r="H102" s="394">
        <f t="shared" si="16"/>
        <v>0</v>
      </c>
      <c r="I102" s="384"/>
      <c r="J102" s="384"/>
    </row>
    <row r="103" spans="1:10" ht="15.75" customHeight="1" x14ac:dyDescent="0.2">
      <c r="A103" s="718"/>
      <c r="B103" s="426"/>
      <c r="C103" s="380" t="s">
        <v>34</v>
      </c>
      <c r="D103" s="398">
        <f>SUM(D104,D109,D111,D120,D129,D137)</f>
        <v>1374136.2</v>
      </c>
      <c r="E103" s="528"/>
      <c r="F103" s="528"/>
      <c r="G103" s="381"/>
      <c r="H103" s="398">
        <f>SUM(H104,H109,H111,H120,H129,H137)</f>
        <v>1874388.2</v>
      </c>
      <c r="I103" s="384"/>
      <c r="J103" s="384"/>
    </row>
    <row r="104" spans="1:10" ht="12.75" customHeight="1" x14ac:dyDescent="0.2">
      <c r="A104" s="718"/>
      <c r="B104" s="385"/>
      <c r="C104" s="386" t="s">
        <v>35</v>
      </c>
      <c r="D104" s="387">
        <f>SUM(D105:D108)</f>
        <v>0</v>
      </c>
      <c r="E104" s="527"/>
      <c r="F104" s="527"/>
      <c r="G104" s="387">
        <f>SUM(G105:G108)</f>
        <v>185000</v>
      </c>
      <c r="H104" s="387">
        <f>SUM(H105:H108)</f>
        <v>185000</v>
      </c>
      <c r="I104" s="384"/>
      <c r="J104" s="384"/>
    </row>
    <row r="105" spans="1:10" ht="12.75" customHeight="1" x14ac:dyDescent="0.2">
      <c r="A105" s="718"/>
      <c r="B105" s="390">
        <v>53202020100000</v>
      </c>
      <c r="C105" s="391" t="s">
        <v>184</v>
      </c>
      <c r="D105" s="241">
        <v>0</v>
      </c>
      <c r="E105" s="243">
        <v>25000</v>
      </c>
      <c r="F105" s="676">
        <v>5</v>
      </c>
      <c r="G105" s="393">
        <f>E105*F105</f>
        <v>125000</v>
      </c>
      <c r="H105" s="394">
        <f t="shared" ref="H105:H108" si="17">D105+G105</f>
        <v>125000</v>
      </c>
      <c r="I105" s="384"/>
      <c r="J105" s="384"/>
    </row>
    <row r="106" spans="1:10" ht="12.75" customHeight="1" x14ac:dyDescent="0.2">
      <c r="A106" s="718"/>
      <c r="B106" s="390">
        <v>53202030000000</v>
      </c>
      <c r="C106" s="391" t="s">
        <v>245</v>
      </c>
      <c r="D106" s="241">
        <v>0</v>
      </c>
      <c r="E106" s="243">
        <v>60000</v>
      </c>
      <c r="F106" s="676">
        <v>1</v>
      </c>
      <c r="G106" s="393">
        <f t="shared" ref="G106:G108" si="18">E106*F106</f>
        <v>60000</v>
      </c>
      <c r="H106" s="394">
        <f t="shared" si="17"/>
        <v>60000</v>
      </c>
      <c r="I106" s="384"/>
      <c r="J106" s="384"/>
    </row>
    <row r="107" spans="1:10" ht="12.75" customHeight="1" x14ac:dyDescent="0.2">
      <c r="A107" s="718"/>
      <c r="B107" s="390">
        <v>53211020000000</v>
      </c>
      <c r="C107" s="391" t="s">
        <v>41</v>
      </c>
      <c r="D107" s="517">
        <f>O40</f>
        <v>0</v>
      </c>
      <c r="E107" s="517">
        <v>0</v>
      </c>
      <c r="F107" s="518">
        <v>0</v>
      </c>
      <c r="G107" s="393">
        <f t="shared" si="18"/>
        <v>0</v>
      </c>
      <c r="H107" s="394">
        <f t="shared" si="17"/>
        <v>0</v>
      </c>
      <c r="I107" s="384"/>
      <c r="J107" s="384"/>
    </row>
    <row r="108" spans="1:10" ht="12.75" customHeight="1" x14ac:dyDescent="0.2">
      <c r="A108" s="718"/>
      <c r="B108" s="390">
        <v>53101040600000</v>
      </c>
      <c r="C108" s="391" t="s">
        <v>186</v>
      </c>
      <c r="D108" s="517">
        <f>O41</f>
        <v>0</v>
      </c>
      <c r="E108" s="517">
        <v>0</v>
      </c>
      <c r="F108" s="518">
        <v>0</v>
      </c>
      <c r="G108" s="393">
        <f t="shared" si="18"/>
        <v>0</v>
      </c>
      <c r="H108" s="394">
        <f t="shared" si="17"/>
        <v>0</v>
      </c>
      <c r="I108" s="384"/>
      <c r="J108" s="384"/>
    </row>
    <row r="109" spans="1:10" ht="12.75" customHeight="1" x14ac:dyDescent="0.2">
      <c r="A109" s="718"/>
      <c r="B109" s="385"/>
      <c r="C109" s="386" t="s">
        <v>42</v>
      </c>
      <c r="D109" s="387">
        <f>SUM(D110:D110)</f>
        <v>0</v>
      </c>
      <c r="E109" s="527"/>
      <c r="F109" s="527"/>
      <c r="G109" s="399">
        <f>SUM(G110:G110)</f>
        <v>0</v>
      </c>
      <c r="H109" s="400">
        <f>SUM(H110:H110)</f>
        <v>0</v>
      </c>
      <c r="I109" s="384"/>
      <c r="J109" s="384"/>
    </row>
    <row r="110" spans="1:10" ht="12.75" customHeight="1" x14ac:dyDescent="0.2">
      <c r="A110" s="718"/>
      <c r="B110" s="401">
        <v>53205990000000</v>
      </c>
      <c r="C110" s="391" t="s">
        <v>44</v>
      </c>
      <c r="D110" s="517">
        <f>O43</f>
        <v>0</v>
      </c>
      <c r="E110" s="517">
        <v>0</v>
      </c>
      <c r="F110" s="518">
        <v>0</v>
      </c>
      <c r="G110" s="393">
        <f t="shared" ref="G110" si="19">E110*F110</f>
        <v>0</v>
      </c>
      <c r="H110" s="394">
        <f t="shared" ref="H110" si="20">D110+G110</f>
        <v>0</v>
      </c>
      <c r="I110" s="384"/>
      <c r="J110" s="384"/>
    </row>
    <row r="111" spans="1:10" ht="12.75" customHeight="1" x14ac:dyDescent="0.2">
      <c r="A111" s="718"/>
      <c r="B111" s="385"/>
      <c r="C111" s="386" t="s">
        <v>45</v>
      </c>
      <c r="D111" s="387">
        <f>SUM(D112:D119)</f>
        <v>780000</v>
      </c>
      <c r="E111" s="527"/>
      <c r="F111" s="527"/>
      <c r="G111" s="387">
        <f>SUM(G112:G119)</f>
        <v>0</v>
      </c>
      <c r="H111" s="389">
        <f>SUM(H112:H119)</f>
        <v>780000</v>
      </c>
      <c r="I111" s="384"/>
      <c r="J111" s="384"/>
    </row>
    <row r="112" spans="1:10" ht="12.75" customHeight="1" x14ac:dyDescent="0.2">
      <c r="A112" s="718"/>
      <c r="B112" s="390">
        <v>53204010000000</v>
      </c>
      <c r="C112" s="391" t="s">
        <v>47</v>
      </c>
      <c r="D112" s="517">
        <f>+O45</f>
        <v>60000</v>
      </c>
      <c r="E112" s="517">
        <v>0</v>
      </c>
      <c r="F112" s="519">
        <v>0</v>
      </c>
      <c r="G112" s="517">
        <f t="shared" ref="G112:G119" si="21">E112*F112</f>
        <v>0</v>
      </c>
      <c r="H112" s="394">
        <f t="shared" ref="H112:H119" si="22">D112+G112</f>
        <v>60000</v>
      </c>
      <c r="I112" s="384"/>
      <c r="J112" s="384"/>
    </row>
    <row r="113" spans="1:10" ht="12.75" customHeight="1" x14ac:dyDescent="0.2">
      <c r="A113" s="718"/>
      <c r="B113" s="401">
        <v>53204040200000</v>
      </c>
      <c r="C113" s="391" t="s">
        <v>213</v>
      </c>
      <c r="D113" s="517">
        <f t="shared" ref="D113:D119" si="23">+O46</f>
        <v>0</v>
      </c>
      <c r="E113" s="517">
        <v>0</v>
      </c>
      <c r="F113" s="519">
        <v>0</v>
      </c>
      <c r="G113" s="517">
        <f t="shared" si="21"/>
        <v>0</v>
      </c>
      <c r="H113" s="394">
        <f t="shared" si="22"/>
        <v>0</v>
      </c>
      <c r="I113" s="384"/>
      <c r="J113" s="384"/>
    </row>
    <row r="114" spans="1:10" ht="12.75" customHeight="1" x14ac:dyDescent="0.2">
      <c r="A114" s="718"/>
      <c r="B114" s="390">
        <v>53204060000000</v>
      </c>
      <c r="C114" s="391" t="s">
        <v>49</v>
      </c>
      <c r="D114" s="517">
        <f t="shared" si="23"/>
        <v>0</v>
      </c>
      <c r="E114" s="517">
        <v>0</v>
      </c>
      <c r="F114" s="519">
        <v>0</v>
      </c>
      <c r="G114" s="517">
        <f t="shared" si="21"/>
        <v>0</v>
      </c>
      <c r="H114" s="394">
        <f t="shared" si="22"/>
        <v>0</v>
      </c>
      <c r="I114" s="384"/>
      <c r="J114" s="384"/>
    </row>
    <row r="115" spans="1:10" ht="12.75" customHeight="1" x14ac:dyDescent="0.2">
      <c r="A115" s="718"/>
      <c r="B115" s="390">
        <v>53204070000000</v>
      </c>
      <c r="C115" s="391" t="s">
        <v>50</v>
      </c>
      <c r="D115" s="517">
        <f t="shared" si="23"/>
        <v>540000</v>
      </c>
      <c r="E115" s="517">
        <v>0</v>
      </c>
      <c r="F115" s="519">
        <v>0</v>
      </c>
      <c r="G115" s="517">
        <f t="shared" si="21"/>
        <v>0</v>
      </c>
      <c r="H115" s="394">
        <f t="shared" si="22"/>
        <v>540000</v>
      </c>
      <c r="I115" s="384"/>
      <c r="J115" s="384"/>
    </row>
    <row r="116" spans="1:10" ht="12.75" customHeight="1" x14ac:dyDescent="0.2">
      <c r="A116" s="718"/>
      <c r="B116" s="390">
        <v>53204080000000</v>
      </c>
      <c r="C116" s="391" t="s">
        <v>51</v>
      </c>
      <c r="D116" s="517">
        <f t="shared" si="23"/>
        <v>90000</v>
      </c>
      <c r="E116" s="517">
        <v>0</v>
      </c>
      <c r="F116" s="519">
        <v>0</v>
      </c>
      <c r="G116" s="517">
        <f t="shared" si="21"/>
        <v>0</v>
      </c>
      <c r="H116" s="394">
        <f t="shared" si="22"/>
        <v>90000</v>
      </c>
      <c r="I116" s="384"/>
      <c r="J116" s="384"/>
    </row>
    <row r="117" spans="1:10" ht="12.75" customHeight="1" x14ac:dyDescent="0.2">
      <c r="A117" s="718"/>
      <c r="B117" s="390">
        <v>53214010000000</v>
      </c>
      <c r="C117" s="391" t="s">
        <v>52</v>
      </c>
      <c r="D117" s="517">
        <f t="shared" si="23"/>
        <v>90000</v>
      </c>
      <c r="E117" s="520">
        <v>0</v>
      </c>
      <c r="F117" s="519">
        <v>0</v>
      </c>
      <c r="G117" s="517">
        <f t="shared" si="21"/>
        <v>0</v>
      </c>
      <c r="H117" s="394">
        <f t="shared" si="22"/>
        <v>90000</v>
      </c>
      <c r="I117" s="384"/>
      <c r="J117" s="384"/>
    </row>
    <row r="118" spans="1:10" ht="12.75" customHeight="1" x14ac:dyDescent="0.2">
      <c r="A118" s="718"/>
      <c r="B118" s="390">
        <v>53214040000000</v>
      </c>
      <c r="C118" s="391" t="s">
        <v>187</v>
      </c>
      <c r="D118" s="517">
        <f t="shared" si="23"/>
        <v>0</v>
      </c>
      <c r="E118" s="520">
        <v>0</v>
      </c>
      <c r="F118" s="519">
        <v>0</v>
      </c>
      <c r="G118" s="517">
        <f t="shared" si="21"/>
        <v>0</v>
      </c>
      <c r="H118" s="394">
        <f t="shared" si="22"/>
        <v>0</v>
      </c>
      <c r="I118" s="384"/>
      <c r="J118" s="384"/>
    </row>
    <row r="119" spans="1:10" ht="12.75" customHeight="1" x14ac:dyDescent="0.2">
      <c r="A119" s="718"/>
      <c r="B119" s="431">
        <v>53204020100000</v>
      </c>
      <c r="C119" s="391" t="s">
        <v>179</v>
      </c>
      <c r="D119" s="517">
        <f t="shared" si="23"/>
        <v>0</v>
      </c>
      <c r="E119" s="517">
        <v>0</v>
      </c>
      <c r="F119" s="519">
        <v>0</v>
      </c>
      <c r="G119" s="517">
        <f t="shared" si="21"/>
        <v>0</v>
      </c>
      <c r="H119" s="394">
        <f t="shared" si="22"/>
        <v>0</v>
      </c>
      <c r="I119" s="384"/>
      <c r="J119" s="384"/>
    </row>
    <row r="120" spans="1:10" ht="12.75" customHeight="1" x14ac:dyDescent="0.2">
      <c r="A120" s="718"/>
      <c r="B120" s="385"/>
      <c r="C120" s="386" t="s">
        <v>55</v>
      </c>
      <c r="D120" s="387">
        <f>SUM(D121:D128)</f>
        <v>519136.19999999995</v>
      </c>
      <c r="E120" s="527"/>
      <c r="F120" s="527"/>
      <c r="G120" s="387">
        <f>SUM(G121:G128)</f>
        <v>105252</v>
      </c>
      <c r="H120" s="389">
        <f>SUM(H121:H128)</f>
        <v>624388.19999999995</v>
      </c>
      <c r="I120" s="384"/>
      <c r="J120" s="384"/>
    </row>
    <row r="121" spans="1:10" ht="12.75" customHeight="1" x14ac:dyDescent="0.2">
      <c r="A121" s="718"/>
      <c r="B121" s="390">
        <v>53207010000000</v>
      </c>
      <c r="C121" s="391" t="s">
        <v>56</v>
      </c>
      <c r="D121" s="517">
        <f>+O54</f>
        <v>0</v>
      </c>
      <c r="E121" s="517">
        <v>0</v>
      </c>
      <c r="F121" s="518">
        <v>0</v>
      </c>
      <c r="G121" s="517">
        <f t="shared" ref="G121:G128" si="24">E121*F121</f>
        <v>0</v>
      </c>
      <c r="H121" s="394">
        <f t="shared" ref="H121:H128" si="25">D121+G121</f>
        <v>0</v>
      </c>
      <c r="I121" s="384"/>
      <c r="J121" s="384"/>
    </row>
    <row r="122" spans="1:10" ht="12.75" customHeight="1" x14ac:dyDescent="0.2">
      <c r="A122" s="718"/>
      <c r="B122" s="390">
        <v>53207020000000</v>
      </c>
      <c r="C122" s="391" t="s">
        <v>57</v>
      </c>
      <c r="D122" s="517">
        <f t="shared" ref="D122:D124" si="26">+O55</f>
        <v>144000</v>
      </c>
      <c r="E122" s="517">
        <v>0</v>
      </c>
      <c r="F122" s="518">
        <v>0</v>
      </c>
      <c r="G122" s="517">
        <f t="shared" si="24"/>
        <v>0</v>
      </c>
      <c r="H122" s="394">
        <f t="shared" si="25"/>
        <v>144000</v>
      </c>
      <c r="I122" s="384"/>
      <c r="J122" s="384"/>
    </row>
    <row r="123" spans="1:10" ht="12.75" customHeight="1" x14ac:dyDescent="0.2">
      <c r="A123" s="718"/>
      <c r="B123" s="390">
        <v>53208020000000</v>
      </c>
      <c r="C123" s="391" t="s">
        <v>170</v>
      </c>
      <c r="D123" s="517">
        <f t="shared" si="26"/>
        <v>0</v>
      </c>
      <c r="E123" s="517">
        <v>0</v>
      </c>
      <c r="F123" s="518">
        <v>0</v>
      </c>
      <c r="G123" s="517">
        <f t="shared" si="24"/>
        <v>0</v>
      </c>
      <c r="H123" s="394">
        <f t="shared" si="25"/>
        <v>0</v>
      </c>
      <c r="I123" s="384"/>
      <c r="J123" s="384"/>
    </row>
    <row r="124" spans="1:10" ht="12.75" customHeight="1" x14ac:dyDescent="0.2">
      <c r="A124" s="718"/>
      <c r="B124" s="390">
        <v>53208990000000</v>
      </c>
      <c r="C124" s="391" t="s">
        <v>188</v>
      </c>
      <c r="D124" s="517">
        <f t="shared" si="26"/>
        <v>139200</v>
      </c>
      <c r="E124" s="517">
        <v>0</v>
      </c>
      <c r="F124" s="518">
        <v>0</v>
      </c>
      <c r="G124" s="517">
        <f t="shared" si="24"/>
        <v>0</v>
      </c>
      <c r="H124" s="394">
        <f t="shared" si="25"/>
        <v>139200</v>
      </c>
      <c r="I124" s="384"/>
      <c r="J124" s="384"/>
    </row>
    <row r="125" spans="1:10" ht="12.75" customHeight="1" x14ac:dyDescent="0.2">
      <c r="A125" s="718"/>
      <c r="B125" s="431">
        <v>53210020300000</v>
      </c>
      <c r="C125" s="391" t="s">
        <v>190</v>
      </c>
      <c r="D125" s="397">
        <v>0</v>
      </c>
      <c r="E125" s="397">
        <v>7518</v>
      </c>
      <c r="F125" s="513">
        <v>14</v>
      </c>
      <c r="G125" s="393">
        <f t="shared" si="24"/>
        <v>105252</v>
      </c>
      <c r="H125" s="394">
        <f t="shared" si="25"/>
        <v>105252</v>
      </c>
      <c r="I125" s="384"/>
      <c r="J125" s="384"/>
    </row>
    <row r="126" spans="1:10" ht="12.75" customHeight="1" x14ac:dyDescent="0.2">
      <c r="A126" s="718"/>
      <c r="B126" s="390">
        <v>53208990000000</v>
      </c>
      <c r="C126" s="391" t="s">
        <v>191</v>
      </c>
      <c r="D126" s="393">
        <f>O58</f>
        <v>0</v>
      </c>
      <c r="E126" s="393">
        <v>0</v>
      </c>
      <c r="F126" s="515">
        <v>0</v>
      </c>
      <c r="G126" s="393">
        <f t="shared" si="24"/>
        <v>0</v>
      </c>
      <c r="H126" s="394">
        <f t="shared" si="25"/>
        <v>0</v>
      </c>
      <c r="I126" s="384"/>
      <c r="J126" s="384"/>
    </row>
    <row r="127" spans="1:10" ht="12.75" customHeight="1" x14ac:dyDescent="0.2">
      <c r="A127" s="718"/>
      <c r="B127" s="390">
        <v>53209990000000</v>
      </c>
      <c r="C127" s="391" t="s">
        <v>189</v>
      </c>
      <c r="D127" s="393">
        <f t="shared" ref="D127:D128" si="27">O59</f>
        <v>0</v>
      </c>
      <c r="E127" s="393">
        <v>0</v>
      </c>
      <c r="F127" s="515">
        <v>0</v>
      </c>
      <c r="G127" s="393">
        <f t="shared" si="24"/>
        <v>0</v>
      </c>
      <c r="H127" s="394">
        <f t="shared" si="25"/>
        <v>0</v>
      </c>
      <c r="I127" s="384"/>
      <c r="J127" s="384"/>
    </row>
    <row r="128" spans="1:10" ht="12.75" customHeight="1" x14ac:dyDescent="0.2">
      <c r="A128" s="718"/>
      <c r="B128" s="390">
        <v>53210020100000</v>
      </c>
      <c r="C128" s="391" t="s">
        <v>64</v>
      </c>
      <c r="D128" s="393">
        <f t="shared" si="27"/>
        <v>235936.19999999998</v>
      </c>
      <c r="E128" s="393">
        <v>0</v>
      </c>
      <c r="F128" s="515">
        <v>0</v>
      </c>
      <c r="G128" s="393">
        <f t="shared" si="24"/>
        <v>0</v>
      </c>
      <c r="H128" s="394">
        <f t="shared" si="25"/>
        <v>235936.19999999998</v>
      </c>
      <c r="I128" s="384"/>
      <c r="J128" s="384"/>
    </row>
    <row r="129" spans="1:10" ht="12.75" customHeight="1" x14ac:dyDescent="0.2">
      <c r="A129" s="718"/>
      <c r="B129" s="385"/>
      <c r="C129" s="386" t="s">
        <v>65</v>
      </c>
      <c r="D129" s="387">
        <f>SUM(D130:D136)</f>
        <v>75000</v>
      </c>
      <c r="E129" s="527"/>
      <c r="F129" s="527"/>
      <c r="G129" s="387">
        <f>SUM(G130:G136)</f>
        <v>0</v>
      </c>
      <c r="H129" s="389">
        <f>SUM(H130:H136)</f>
        <v>75000</v>
      </c>
      <c r="I129" s="384"/>
      <c r="J129" s="384"/>
    </row>
    <row r="130" spans="1:10" ht="12.75" customHeight="1" x14ac:dyDescent="0.2">
      <c r="A130" s="718"/>
      <c r="B130" s="390">
        <v>53206030000000</v>
      </c>
      <c r="C130" s="391" t="s">
        <v>99</v>
      </c>
      <c r="D130" s="517">
        <f>+O62</f>
        <v>0</v>
      </c>
      <c r="E130" s="517">
        <v>0</v>
      </c>
      <c r="F130" s="518">
        <v>0</v>
      </c>
      <c r="G130" s="393">
        <f t="shared" ref="G130:G136" si="28">E130*F130</f>
        <v>0</v>
      </c>
      <c r="H130" s="394">
        <f t="shared" ref="H130:H135" si="29">D130+G130</f>
        <v>0</v>
      </c>
      <c r="I130" s="384"/>
      <c r="J130" s="384"/>
    </row>
    <row r="131" spans="1:10" ht="12.75" customHeight="1" x14ac:dyDescent="0.2">
      <c r="A131" s="718"/>
      <c r="B131" s="390">
        <v>53206040000000</v>
      </c>
      <c r="C131" s="391" t="s">
        <v>100</v>
      </c>
      <c r="D131" s="517">
        <f t="shared" ref="D131:D136" si="30">+O63</f>
        <v>0</v>
      </c>
      <c r="E131" s="517">
        <v>0</v>
      </c>
      <c r="F131" s="518">
        <v>0</v>
      </c>
      <c r="G131" s="393">
        <f t="shared" si="28"/>
        <v>0</v>
      </c>
      <c r="H131" s="394">
        <f t="shared" si="29"/>
        <v>0</v>
      </c>
      <c r="I131" s="384"/>
      <c r="J131" s="384"/>
    </row>
    <row r="132" spans="1:10" ht="12.75" customHeight="1" x14ac:dyDescent="0.2">
      <c r="A132" s="718"/>
      <c r="B132" s="390">
        <v>53206060000000</v>
      </c>
      <c r="C132" s="391" t="s">
        <v>192</v>
      </c>
      <c r="D132" s="517">
        <f t="shared" si="30"/>
        <v>0</v>
      </c>
      <c r="E132" s="517">
        <v>0</v>
      </c>
      <c r="F132" s="518">
        <v>0</v>
      </c>
      <c r="G132" s="393">
        <f t="shared" si="28"/>
        <v>0</v>
      </c>
      <c r="H132" s="394">
        <f t="shared" si="29"/>
        <v>0</v>
      </c>
      <c r="I132" s="384"/>
      <c r="J132" s="384"/>
    </row>
    <row r="133" spans="1:10" ht="12.75" customHeight="1" x14ac:dyDescent="0.2">
      <c r="A133" s="718"/>
      <c r="B133" s="390">
        <v>53206070000000</v>
      </c>
      <c r="C133" s="391" t="s">
        <v>102</v>
      </c>
      <c r="D133" s="517">
        <f t="shared" si="30"/>
        <v>0</v>
      </c>
      <c r="E133" s="517">
        <v>0</v>
      </c>
      <c r="F133" s="518">
        <v>0</v>
      </c>
      <c r="G133" s="393">
        <f t="shared" si="28"/>
        <v>0</v>
      </c>
      <c r="H133" s="394">
        <f t="shared" si="29"/>
        <v>0</v>
      </c>
      <c r="I133" s="384"/>
      <c r="J133" s="384"/>
    </row>
    <row r="134" spans="1:10" ht="12.75" customHeight="1" x14ac:dyDescent="0.2">
      <c r="A134" s="718"/>
      <c r="B134" s="390">
        <v>53206990000000</v>
      </c>
      <c r="C134" s="391" t="s">
        <v>193</v>
      </c>
      <c r="D134" s="517">
        <f t="shared" si="30"/>
        <v>0</v>
      </c>
      <c r="E134" s="517">
        <v>0</v>
      </c>
      <c r="F134" s="518">
        <v>0</v>
      </c>
      <c r="G134" s="393">
        <f t="shared" si="28"/>
        <v>0</v>
      </c>
      <c r="H134" s="394">
        <f t="shared" si="29"/>
        <v>0</v>
      </c>
      <c r="I134" s="384"/>
      <c r="J134" s="384"/>
    </row>
    <row r="135" spans="1:10" ht="12.75" customHeight="1" x14ac:dyDescent="0.2">
      <c r="A135" s="718"/>
      <c r="B135" s="390">
        <v>53208030000000</v>
      </c>
      <c r="C135" s="391" t="s">
        <v>104</v>
      </c>
      <c r="D135" s="517">
        <f t="shared" si="30"/>
        <v>0</v>
      </c>
      <c r="E135" s="517">
        <v>0</v>
      </c>
      <c r="F135" s="518">
        <v>0</v>
      </c>
      <c r="G135" s="393">
        <f t="shared" si="28"/>
        <v>0</v>
      </c>
      <c r="H135" s="394">
        <f t="shared" si="29"/>
        <v>0</v>
      </c>
      <c r="I135" s="384"/>
      <c r="J135" s="384"/>
    </row>
    <row r="136" spans="1:10" ht="12.75" customHeight="1" x14ac:dyDescent="0.2">
      <c r="A136" s="718"/>
      <c r="B136" s="390">
        <v>53206990000000</v>
      </c>
      <c r="C136" s="391" t="s">
        <v>214</v>
      </c>
      <c r="D136" s="517">
        <f t="shared" si="30"/>
        <v>75000</v>
      </c>
      <c r="E136" s="517">
        <v>0</v>
      </c>
      <c r="F136" s="518">
        <v>0</v>
      </c>
      <c r="G136" s="393">
        <f t="shared" si="28"/>
        <v>0</v>
      </c>
      <c r="H136" s="394">
        <f>D136+G136</f>
        <v>75000</v>
      </c>
      <c r="I136" s="384"/>
      <c r="J136" s="384"/>
    </row>
    <row r="137" spans="1:10" ht="12.75" customHeight="1" x14ac:dyDescent="0.2">
      <c r="A137" s="718"/>
      <c r="B137" s="385"/>
      <c r="C137" s="386" t="s">
        <v>66</v>
      </c>
      <c r="D137" s="387">
        <f>SUM(D138:D138)</f>
        <v>0</v>
      </c>
      <c r="E137" s="527"/>
      <c r="F137" s="527"/>
      <c r="G137" s="387">
        <f>SUM(G138:G138)</f>
        <v>210000</v>
      </c>
      <c r="H137" s="389">
        <f>SUM(H138:H138)</f>
        <v>210000</v>
      </c>
      <c r="I137" s="384"/>
      <c r="J137" s="384"/>
    </row>
    <row r="138" spans="1:10" ht="12.75" customHeight="1" x14ac:dyDescent="0.2">
      <c r="A138" s="718"/>
      <c r="B138" s="432"/>
      <c r="C138" s="405" t="s">
        <v>215</v>
      </c>
      <c r="D138" s="241">
        <v>0</v>
      </c>
      <c r="E138" s="241">
        <v>15000</v>
      </c>
      <c r="F138" s="512">
        <v>14</v>
      </c>
      <c r="G138" s="393">
        <f t="shared" ref="G138" si="31">E138*F138</f>
        <v>210000</v>
      </c>
      <c r="H138" s="406">
        <f t="shared" ref="H138" si="32">D138+G138</f>
        <v>210000</v>
      </c>
      <c r="I138" s="402" t="s">
        <v>216</v>
      </c>
      <c r="J138" s="403">
        <f>+H136+H135+H134+H133+H132+H131+H130+H128+H127+H126+H125+H124+H123+H122+H121+H119+H116+H115+H114+H113+H112+H110+H108+H107+H101+H100+H99+H97+H96+H95+H94+H93+H92+H91+H90+H89+H88+H87</f>
        <v>3904726.0500000003</v>
      </c>
    </row>
    <row r="139" spans="1:10" ht="13.5" collapsed="1" thickBot="1" x14ac:dyDescent="0.25">
      <c r="A139" s="719"/>
      <c r="B139" s="433"/>
      <c r="C139" s="407" t="s">
        <v>105</v>
      </c>
      <c r="D139" s="408">
        <f>SUM(D76,D103)</f>
        <v>35007710.919000007</v>
      </c>
      <c r="E139" s="409"/>
      <c r="F139" s="409"/>
      <c r="G139" s="408">
        <f>SUM(G76,G103)</f>
        <v>2217600</v>
      </c>
      <c r="H139" s="404">
        <f>SUM(H76,H103)</f>
        <v>37725562.919000007</v>
      </c>
      <c r="I139" s="410" t="s">
        <v>217</v>
      </c>
      <c r="J139" s="411">
        <f>+H139-J138</f>
        <v>33820836.86900001</v>
      </c>
    </row>
    <row r="140" spans="1:10" x14ac:dyDescent="0.2">
      <c r="A140" s="793" t="s">
        <v>243</v>
      </c>
      <c r="B140" s="566"/>
      <c r="C140" s="567" t="s">
        <v>11</v>
      </c>
      <c r="D140" s="568">
        <f>SUM(D141,D146)</f>
        <v>0</v>
      </c>
      <c r="E140" s="569"/>
      <c r="F140" s="569"/>
      <c r="G140" s="570">
        <f>SUM(G141,G146)</f>
        <v>0</v>
      </c>
      <c r="H140" s="571">
        <f>SUM(H141,H146)</f>
        <v>0</v>
      </c>
      <c r="I140" s="384"/>
      <c r="J140" s="384"/>
    </row>
    <row r="141" spans="1:10" ht="15.75" customHeight="1" x14ac:dyDescent="0.2">
      <c r="A141" s="794"/>
      <c r="B141" s="572"/>
      <c r="C141" s="573" t="s">
        <v>12</v>
      </c>
      <c r="D141" s="574">
        <f>SUM(D142:D145)</f>
        <v>0</v>
      </c>
      <c r="E141" s="575"/>
      <c r="F141" s="575"/>
      <c r="G141" s="576">
        <f>SUM(G142:G145)</f>
        <v>0</v>
      </c>
      <c r="H141" s="577">
        <f>SUM(H142:H145)</f>
        <v>0</v>
      </c>
      <c r="I141" s="384"/>
      <c r="J141" s="384"/>
    </row>
    <row r="142" spans="1:10" ht="15.75" customHeight="1" x14ac:dyDescent="0.2">
      <c r="A142" s="794"/>
      <c r="B142" s="578">
        <v>53103040100000</v>
      </c>
      <c r="C142" s="579" t="s">
        <v>95</v>
      </c>
      <c r="D142" s="580">
        <f>'F) Remuneraciones'!L31</f>
        <v>0</v>
      </c>
      <c r="E142" s="581">
        <v>0</v>
      </c>
      <c r="F142" s="582">
        <v>0</v>
      </c>
      <c r="G142" s="583">
        <f>E142*F142</f>
        <v>0</v>
      </c>
      <c r="H142" s="584">
        <f>D142+G142</f>
        <v>0</v>
      </c>
      <c r="I142" s="384"/>
      <c r="J142" s="384"/>
    </row>
    <row r="143" spans="1:10" ht="15.75" customHeight="1" x14ac:dyDescent="0.2">
      <c r="A143" s="794"/>
      <c r="B143" s="578">
        <v>53103050000000</v>
      </c>
      <c r="C143" s="579" t="s">
        <v>244</v>
      </c>
      <c r="D143" s="585">
        <v>0</v>
      </c>
      <c r="E143" s="586">
        <v>0</v>
      </c>
      <c r="F143" s="587">
        <v>0</v>
      </c>
      <c r="G143" s="583">
        <f>E143*F143</f>
        <v>0</v>
      </c>
      <c r="H143" s="584">
        <f>D143+G143</f>
        <v>0</v>
      </c>
      <c r="I143" s="384"/>
      <c r="J143" s="384"/>
    </row>
    <row r="144" spans="1:10" ht="15.75" customHeight="1" x14ac:dyDescent="0.2">
      <c r="A144" s="794"/>
      <c r="B144" s="588">
        <v>53103040400000</v>
      </c>
      <c r="C144" s="589" t="s">
        <v>172</v>
      </c>
      <c r="D144" s="585">
        <v>0</v>
      </c>
      <c r="E144" s="586">
        <v>0</v>
      </c>
      <c r="F144" s="587">
        <v>0</v>
      </c>
      <c r="G144" s="583">
        <f>E144*F144</f>
        <v>0</v>
      </c>
      <c r="H144" s="584">
        <f>D144+G144</f>
        <v>0</v>
      </c>
      <c r="I144" s="384"/>
      <c r="J144" s="384"/>
    </row>
    <row r="145" spans="1:10" ht="15.75" customHeight="1" x14ac:dyDescent="0.2">
      <c r="A145" s="794"/>
      <c r="B145" s="578">
        <v>53103080010000</v>
      </c>
      <c r="C145" s="579" t="s">
        <v>173</v>
      </c>
      <c r="D145" s="585">
        <v>0</v>
      </c>
      <c r="E145" s="586">
        <v>0</v>
      </c>
      <c r="F145" s="587">
        <v>0</v>
      </c>
      <c r="G145" s="583">
        <f>E145*F145</f>
        <v>0</v>
      </c>
      <c r="H145" s="584">
        <f>D145+G145</f>
        <v>0</v>
      </c>
      <c r="I145" s="384"/>
      <c r="J145" s="384"/>
    </row>
    <row r="146" spans="1:10" ht="15.75" customHeight="1" x14ac:dyDescent="0.2">
      <c r="A146" s="794"/>
      <c r="B146" s="572"/>
      <c r="C146" s="573" t="s">
        <v>16</v>
      </c>
      <c r="D146" s="574">
        <f>SUM(D147:D166)</f>
        <v>0</v>
      </c>
      <c r="E146" s="575"/>
      <c r="F146" s="575"/>
      <c r="G146" s="574">
        <f>SUM(G147:G166)</f>
        <v>0</v>
      </c>
      <c r="H146" s="577">
        <f>SUM(H147:H166)</f>
        <v>0</v>
      </c>
      <c r="I146" s="384"/>
      <c r="J146" s="384"/>
    </row>
    <row r="147" spans="1:10" ht="15.75" customHeight="1" x14ac:dyDescent="0.2">
      <c r="A147" s="794"/>
      <c r="B147" s="578">
        <v>53201010100000</v>
      </c>
      <c r="C147" s="590" t="s">
        <v>174</v>
      </c>
      <c r="D147" s="585">
        <v>0</v>
      </c>
      <c r="E147" s="586">
        <v>0</v>
      </c>
      <c r="F147" s="587">
        <v>0</v>
      </c>
      <c r="G147" s="583">
        <f t="shared" ref="G147:G166" si="33">E147*F147</f>
        <v>0</v>
      </c>
      <c r="H147" s="584">
        <f t="shared" ref="H147:H166" si="34">D147+G147</f>
        <v>0</v>
      </c>
      <c r="I147" s="384"/>
      <c r="J147" s="384"/>
    </row>
    <row r="148" spans="1:10" ht="15.75" customHeight="1" x14ac:dyDescent="0.2">
      <c r="A148" s="794"/>
      <c r="B148" s="578">
        <v>53201010100000</v>
      </c>
      <c r="C148" s="590" t="s">
        <v>175</v>
      </c>
      <c r="D148" s="585">
        <v>0</v>
      </c>
      <c r="E148" s="586">
        <v>0</v>
      </c>
      <c r="F148" s="587">
        <v>0</v>
      </c>
      <c r="G148" s="583">
        <f t="shared" si="33"/>
        <v>0</v>
      </c>
      <c r="H148" s="584">
        <f t="shared" si="34"/>
        <v>0</v>
      </c>
      <c r="I148" s="384"/>
      <c r="J148" s="384"/>
    </row>
    <row r="149" spans="1:10" ht="15.75" customHeight="1" x14ac:dyDescent="0.2">
      <c r="A149" s="794"/>
      <c r="B149" s="578">
        <v>53201010100000</v>
      </c>
      <c r="C149" s="590" t="s">
        <v>176</v>
      </c>
      <c r="D149" s="585">
        <v>0</v>
      </c>
      <c r="E149" s="586">
        <v>0</v>
      </c>
      <c r="F149" s="587">
        <v>0</v>
      </c>
      <c r="G149" s="583">
        <f t="shared" si="33"/>
        <v>0</v>
      </c>
      <c r="H149" s="584">
        <f t="shared" si="34"/>
        <v>0</v>
      </c>
      <c r="I149" s="384"/>
      <c r="J149" s="384"/>
    </row>
    <row r="150" spans="1:10" ht="15.75" customHeight="1" x14ac:dyDescent="0.2">
      <c r="A150" s="794"/>
      <c r="B150" s="578">
        <v>53202010100000</v>
      </c>
      <c r="C150" s="579" t="s">
        <v>177</v>
      </c>
      <c r="D150" s="585">
        <v>0</v>
      </c>
      <c r="E150" s="586">
        <v>0</v>
      </c>
      <c r="F150" s="587">
        <v>0</v>
      </c>
      <c r="G150" s="583">
        <f t="shared" si="33"/>
        <v>0</v>
      </c>
      <c r="H150" s="584">
        <f t="shared" si="34"/>
        <v>0</v>
      </c>
      <c r="I150" s="384"/>
      <c r="J150" s="384"/>
    </row>
    <row r="151" spans="1:10" ht="15.75" customHeight="1" x14ac:dyDescent="0.2">
      <c r="A151" s="794"/>
      <c r="B151" s="578">
        <v>53203010100000</v>
      </c>
      <c r="C151" s="579" t="s">
        <v>19</v>
      </c>
      <c r="D151" s="591">
        <v>0</v>
      </c>
      <c r="E151" s="592">
        <v>0</v>
      </c>
      <c r="F151" s="593">
        <v>0</v>
      </c>
      <c r="G151" s="583">
        <f t="shared" si="33"/>
        <v>0</v>
      </c>
      <c r="H151" s="584">
        <f t="shared" si="34"/>
        <v>0</v>
      </c>
      <c r="I151" s="384"/>
      <c r="J151" s="384"/>
    </row>
    <row r="152" spans="1:10" ht="15.75" customHeight="1" x14ac:dyDescent="0.2">
      <c r="A152" s="794"/>
      <c r="B152" s="578">
        <v>53203030000000</v>
      </c>
      <c r="C152" s="579" t="s">
        <v>178</v>
      </c>
      <c r="D152" s="591">
        <v>0</v>
      </c>
      <c r="E152" s="592">
        <v>0</v>
      </c>
      <c r="F152" s="593">
        <v>0</v>
      </c>
      <c r="G152" s="583">
        <f t="shared" si="33"/>
        <v>0</v>
      </c>
      <c r="H152" s="584">
        <f t="shared" si="34"/>
        <v>0</v>
      </c>
      <c r="I152" s="384"/>
      <c r="J152" s="384"/>
    </row>
    <row r="153" spans="1:10" ht="15.75" customHeight="1" x14ac:dyDescent="0.2">
      <c r="A153" s="794"/>
      <c r="B153" s="578">
        <v>53204030000000</v>
      </c>
      <c r="C153" s="579" t="s">
        <v>212</v>
      </c>
      <c r="D153" s="591">
        <v>0</v>
      </c>
      <c r="E153" s="592">
        <v>0</v>
      </c>
      <c r="F153" s="593">
        <v>0</v>
      </c>
      <c r="G153" s="583">
        <f t="shared" si="33"/>
        <v>0</v>
      </c>
      <c r="H153" s="584">
        <f>D153+G153</f>
        <v>0</v>
      </c>
      <c r="I153" s="384"/>
      <c r="J153" s="384"/>
    </row>
    <row r="154" spans="1:10" ht="15.75" customHeight="1" x14ac:dyDescent="0.2">
      <c r="A154" s="794"/>
      <c r="B154" s="578">
        <v>53204100100001</v>
      </c>
      <c r="C154" s="579" t="s">
        <v>22</v>
      </c>
      <c r="D154" s="591">
        <v>0</v>
      </c>
      <c r="E154" s="592">
        <v>0</v>
      </c>
      <c r="F154" s="593">
        <v>0</v>
      </c>
      <c r="G154" s="583">
        <f t="shared" si="33"/>
        <v>0</v>
      </c>
      <c r="H154" s="584">
        <f t="shared" si="34"/>
        <v>0</v>
      </c>
      <c r="I154" s="384"/>
      <c r="J154" s="384"/>
    </row>
    <row r="155" spans="1:10" ht="15.75" customHeight="1" x14ac:dyDescent="0.2">
      <c r="A155" s="794"/>
      <c r="B155" s="578">
        <v>53204130100000</v>
      </c>
      <c r="C155" s="579" t="s">
        <v>180</v>
      </c>
      <c r="D155" s="591">
        <v>0</v>
      </c>
      <c r="E155" s="592">
        <v>0</v>
      </c>
      <c r="F155" s="593">
        <v>0</v>
      </c>
      <c r="G155" s="583">
        <f t="shared" si="33"/>
        <v>0</v>
      </c>
      <c r="H155" s="584">
        <f t="shared" si="34"/>
        <v>0</v>
      </c>
      <c r="I155" s="384"/>
      <c r="J155" s="384"/>
    </row>
    <row r="156" spans="1:10" ht="15.75" customHeight="1" x14ac:dyDescent="0.2">
      <c r="A156" s="794"/>
      <c r="B156" s="578">
        <v>53205010100000</v>
      </c>
      <c r="C156" s="579" t="s">
        <v>24</v>
      </c>
      <c r="D156" s="591">
        <v>0</v>
      </c>
      <c r="E156" s="592">
        <v>0</v>
      </c>
      <c r="F156" s="593">
        <v>0</v>
      </c>
      <c r="G156" s="583">
        <f t="shared" si="33"/>
        <v>0</v>
      </c>
      <c r="H156" s="584">
        <f t="shared" si="34"/>
        <v>0</v>
      </c>
      <c r="I156" s="384"/>
      <c r="J156" s="384"/>
    </row>
    <row r="157" spans="1:10" ht="15.75" customHeight="1" x14ac:dyDescent="0.2">
      <c r="A157" s="794"/>
      <c r="B157" s="578">
        <v>53205020100000</v>
      </c>
      <c r="C157" s="579" t="s">
        <v>25</v>
      </c>
      <c r="D157" s="591">
        <v>0</v>
      </c>
      <c r="E157" s="592">
        <v>0</v>
      </c>
      <c r="F157" s="593">
        <v>0</v>
      </c>
      <c r="G157" s="583">
        <f t="shared" si="33"/>
        <v>0</v>
      </c>
      <c r="H157" s="584">
        <f t="shared" si="34"/>
        <v>0</v>
      </c>
      <c r="I157" s="384"/>
      <c r="J157" s="384"/>
    </row>
    <row r="158" spans="1:10" ht="15.75" customHeight="1" x14ac:dyDescent="0.2">
      <c r="A158" s="794"/>
      <c r="B158" s="578">
        <v>53205030100000</v>
      </c>
      <c r="C158" s="579" t="s">
        <v>26</v>
      </c>
      <c r="D158" s="591">
        <v>0</v>
      </c>
      <c r="E158" s="592">
        <v>0</v>
      </c>
      <c r="F158" s="593">
        <v>0</v>
      </c>
      <c r="G158" s="583">
        <f t="shared" si="33"/>
        <v>0</v>
      </c>
      <c r="H158" s="584">
        <f t="shared" si="34"/>
        <v>0</v>
      </c>
      <c r="I158" s="384"/>
      <c r="J158" s="384"/>
    </row>
    <row r="159" spans="1:10" ht="15.75" customHeight="1" x14ac:dyDescent="0.2">
      <c r="A159" s="794"/>
      <c r="B159" s="578">
        <v>53205050100000</v>
      </c>
      <c r="C159" s="579" t="s">
        <v>27</v>
      </c>
      <c r="D159" s="591">
        <v>0</v>
      </c>
      <c r="E159" s="592">
        <v>0</v>
      </c>
      <c r="F159" s="593">
        <v>0</v>
      </c>
      <c r="G159" s="583">
        <f t="shared" si="33"/>
        <v>0</v>
      </c>
      <c r="H159" s="584">
        <f t="shared" si="34"/>
        <v>0</v>
      </c>
      <c r="I159" s="384"/>
      <c r="J159" s="384"/>
    </row>
    <row r="160" spans="1:10" ht="15.75" customHeight="1" x14ac:dyDescent="0.2">
      <c r="A160" s="794"/>
      <c r="B160" s="578">
        <v>53205070100000</v>
      </c>
      <c r="C160" s="579" t="s">
        <v>29</v>
      </c>
      <c r="D160" s="591">
        <v>0</v>
      </c>
      <c r="E160" s="592">
        <v>0</v>
      </c>
      <c r="F160" s="593">
        <v>0</v>
      </c>
      <c r="G160" s="583">
        <f t="shared" si="33"/>
        <v>0</v>
      </c>
      <c r="H160" s="584">
        <f t="shared" si="34"/>
        <v>0</v>
      </c>
      <c r="I160" s="384"/>
      <c r="J160" s="384"/>
    </row>
    <row r="161" spans="1:10" ht="15.75" customHeight="1" x14ac:dyDescent="0.2">
      <c r="A161" s="794"/>
      <c r="B161" s="578">
        <v>53208010100000</v>
      </c>
      <c r="C161" s="579" t="s">
        <v>30</v>
      </c>
      <c r="D161" s="591">
        <v>0</v>
      </c>
      <c r="E161" s="592">
        <v>0</v>
      </c>
      <c r="F161" s="593">
        <v>0</v>
      </c>
      <c r="G161" s="583">
        <f t="shared" si="33"/>
        <v>0</v>
      </c>
      <c r="H161" s="584">
        <f t="shared" si="34"/>
        <v>0</v>
      </c>
      <c r="I161" s="384"/>
      <c r="J161" s="384"/>
    </row>
    <row r="162" spans="1:10" ht="15.75" customHeight="1" x14ac:dyDescent="0.2">
      <c r="A162" s="794"/>
      <c r="B162" s="578">
        <v>53208070100001</v>
      </c>
      <c r="C162" s="579" t="s">
        <v>31</v>
      </c>
      <c r="D162" s="585">
        <v>0</v>
      </c>
      <c r="E162" s="586">
        <v>0</v>
      </c>
      <c r="F162" s="587">
        <v>0</v>
      </c>
      <c r="G162" s="583">
        <f t="shared" si="33"/>
        <v>0</v>
      </c>
      <c r="H162" s="584">
        <f t="shared" si="34"/>
        <v>0</v>
      </c>
      <c r="I162" s="384"/>
      <c r="J162" s="384"/>
    </row>
    <row r="163" spans="1:10" ht="15.75" customHeight="1" x14ac:dyDescent="0.2">
      <c r="A163" s="794"/>
      <c r="B163" s="578">
        <v>53208100100001</v>
      </c>
      <c r="C163" s="579" t="s">
        <v>181</v>
      </c>
      <c r="D163" s="591">
        <v>0</v>
      </c>
      <c r="E163" s="592">
        <v>0</v>
      </c>
      <c r="F163" s="593">
        <v>0</v>
      </c>
      <c r="G163" s="583">
        <f t="shared" si="33"/>
        <v>0</v>
      </c>
      <c r="H163" s="584">
        <f t="shared" si="34"/>
        <v>0</v>
      </c>
      <c r="I163" s="384"/>
      <c r="J163" s="384"/>
    </row>
    <row r="164" spans="1:10" ht="15.75" customHeight="1" x14ac:dyDescent="0.2">
      <c r="A164" s="794"/>
      <c r="B164" s="578">
        <v>53211030000000</v>
      </c>
      <c r="C164" s="579" t="s">
        <v>32</v>
      </c>
      <c r="D164" s="591">
        <v>0</v>
      </c>
      <c r="E164" s="592">
        <v>0</v>
      </c>
      <c r="F164" s="593">
        <v>0</v>
      </c>
      <c r="G164" s="583">
        <f t="shared" si="33"/>
        <v>0</v>
      </c>
      <c r="H164" s="584">
        <f t="shared" si="34"/>
        <v>0</v>
      </c>
      <c r="I164" s="384"/>
      <c r="J164" s="384"/>
    </row>
    <row r="165" spans="1:10" ht="15.75" customHeight="1" x14ac:dyDescent="0.2">
      <c r="A165" s="794"/>
      <c r="B165" s="578">
        <v>53212020100000</v>
      </c>
      <c r="C165" s="579" t="s">
        <v>182</v>
      </c>
      <c r="D165" s="591">
        <v>0</v>
      </c>
      <c r="E165" s="592">
        <v>0</v>
      </c>
      <c r="F165" s="593">
        <v>0</v>
      </c>
      <c r="G165" s="583">
        <f t="shared" si="33"/>
        <v>0</v>
      </c>
      <c r="H165" s="584">
        <f t="shared" si="34"/>
        <v>0</v>
      </c>
      <c r="I165" s="384"/>
      <c r="J165" s="384"/>
    </row>
    <row r="166" spans="1:10" ht="15.75" customHeight="1" x14ac:dyDescent="0.2">
      <c r="A166" s="794"/>
      <c r="B166" s="578">
        <v>53214020000000</v>
      </c>
      <c r="C166" s="579" t="s">
        <v>183</v>
      </c>
      <c r="D166" s="585">
        <v>0</v>
      </c>
      <c r="E166" s="586">
        <v>0</v>
      </c>
      <c r="F166" s="587">
        <v>0</v>
      </c>
      <c r="G166" s="583">
        <f t="shared" si="33"/>
        <v>0</v>
      </c>
      <c r="H166" s="584">
        <f t="shared" si="34"/>
        <v>0</v>
      </c>
      <c r="I166" s="384"/>
      <c r="J166" s="384"/>
    </row>
    <row r="167" spans="1:10" ht="15.75" customHeight="1" x14ac:dyDescent="0.2">
      <c r="A167" s="794"/>
      <c r="B167" s="566"/>
      <c r="C167" s="567" t="s">
        <v>34</v>
      </c>
      <c r="D167" s="568">
        <f>+D168+D173+D175+D184+D193+D201</f>
        <v>0</v>
      </c>
      <c r="E167" s="569"/>
      <c r="F167" s="569"/>
      <c r="G167" s="568">
        <f>SUM(G168,G173,G175,G184,G193,G201)</f>
        <v>0</v>
      </c>
      <c r="H167" s="594">
        <f>SUM(H168,H173,H175,H184,H193,H201)</f>
        <v>0</v>
      </c>
      <c r="I167" s="384"/>
      <c r="J167" s="384"/>
    </row>
    <row r="168" spans="1:10" ht="15.75" customHeight="1" x14ac:dyDescent="0.2">
      <c r="A168" s="794"/>
      <c r="B168" s="572"/>
      <c r="C168" s="573" t="s">
        <v>35</v>
      </c>
      <c r="D168" s="574">
        <f>SUM(D169:D172)</f>
        <v>0</v>
      </c>
      <c r="E168" s="575"/>
      <c r="F168" s="575"/>
      <c r="G168" s="595">
        <f>SUM(G169:G172)</f>
        <v>0</v>
      </c>
      <c r="H168" s="596">
        <f>SUM(H169:H172)</f>
        <v>0</v>
      </c>
      <c r="I168" s="384"/>
      <c r="J168" s="384"/>
    </row>
    <row r="169" spans="1:10" ht="15.75" customHeight="1" x14ac:dyDescent="0.2">
      <c r="A169" s="794"/>
      <c r="B169" s="578">
        <v>53202020100000</v>
      </c>
      <c r="C169" s="579" t="s">
        <v>184</v>
      </c>
      <c r="D169" s="585">
        <v>0</v>
      </c>
      <c r="E169" s="586">
        <v>0</v>
      </c>
      <c r="F169" s="587">
        <v>0</v>
      </c>
      <c r="G169" s="583">
        <f>E169*F169</f>
        <v>0</v>
      </c>
      <c r="H169" s="584">
        <f t="shared" ref="H169:H202" si="35">D169+G169</f>
        <v>0</v>
      </c>
      <c r="I169" s="384"/>
      <c r="J169" s="384"/>
    </row>
    <row r="170" spans="1:10" ht="15.75" customHeight="1" x14ac:dyDescent="0.2">
      <c r="A170" s="794"/>
      <c r="B170" s="578">
        <v>53202030000000</v>
      </c>
      <c r="C170" s="579" t="s">
        <v>185</v>
      </c>
      <c r="D170" s="585">
        <v>0</v>
      </c>
      <c r="E170" s="586">
        <v>0</v>
      </c>
      <c r="F170" s="587">
        <v>0</v>
      </c>
      <c r="G170" s="583">
        <f t="shared" ref="G170:G202" si="36">E170*F170</f>
        <v>0</v>
      </c>
      <c r="H170" s="584">
        <f t="shared" si="35"/>
        <v>0</v>
      </c>
      <c r="I170" s="384"/>
      <c r="J170" s="384"/>
    </row>
    <row r="171" spans="1:10" ht="15.75" customHeight="1" x14ac:dyDescent="0.2">
      <c r="A171" s="794"/>
      <c r="B171" s="578">
        <v>53211020000000</v>
      </c>
      <c r="C171" s="579" t="s">
        <v>41</v>
      </c>
      <c r="D171" s="592">
        <f>O104</f>
        <v>0</v>
      </c>
      <c r="E171" s="592">
        <v>0</v>
      </c>
      <c r="F171" s="592">
        <v>0</v>
      </c>
      <c r="G171" s="583">
        <f t="shared" si="36"/>
        <v>0</v>
      </c>
      <c r="H171" s="584">
        <f t="shared" si="35"/>
        <v>0</v>
      </c>
      <c r="I171" s="384"/>
      <c r="J171" s="384"/>
    </row>
    <row r="172" spans="1:10" ht="15.75" customHeight="1" x14ac:dyDescent="0.2">
      <c r="A172" s="794"/>
      <c r="B172" s="578">
        <v>53101040600000</v>
      </c>
      <c r="C172" s="579" t="s">
        <v>186</v>
      </c>
      <c r="D172" s="592">
        <f>O105</f>
        <v>0</v>
      </c>
      <c r="E172" s="592">
        <v>0</v>
      </c>
      <c r="F172" s="592">
        <v>0</v>
      </c>
      <c r="G172" s="583">
        <f t="shared" si="36"/>
        <v>0</v>
      </c>
      <c r="H172" s="584">
        <f t="shared" si="35"/>
        <v>0</v>
      </c>
      <c r="I172" s="384"/>
      <c r="J172" s="384"/>
    </row>
    <row r="173" spans="1:10" ht="15.75" customHeight="1" x14ac:dyDescent="0.2">
      <c r="A173" s="794"/>
      <c r="B173" s="572"/>
      <c r="C173" s="573" t="s">
        <v>42</v>
      </c>
      <c r="D173" s="574">
        <f>SUM(D174:D174)</f>
        <v>0</v>
      </c>
      <c r="E173" s="575"/>
      <c r="F173" s="575"/>
      <c r="G173" s="595">
        <f>SUM(G174:G174)</f>
        <v>0</v>
      </c>
      <c r="H173" s="596">
        <f>SUM(H174:H174)</f>
        <v>0</v>
      </c>
      <c r="I173" s="384"/>
      <c r="J173" s="384"/>
    </row>
    <row r="174" spans="1:10" ht="15.75" customHeight="1" x14ac:dyDescent="0.2">
      <c r="A174" s="794"/>
      <c r="B174" s="597">
        <v>53205990000000</v>
      </c>
      <c r="C174" s="579" t="s">
        <v>44</v>
      </c>
      <c r="D174" s="592">
        <v>0</v>
      </c>
      <c r="E174" s="592">
        <v>0</v>
      </c>
      <c r="F174" s="592">
        <v>0</v>
      </c>
      <c r="G174" s="583">
        <f t="shared" si="36"/>
        <v>0</v>
      </c>
      <c r="H174" s="584">
        <f t="shared" si="35"/>
        <v>0</v>
      </c>
      <c r="I174" s="384"/>
      <c r="J174" s="384"/>
    </row>
    <row r="175" spans="1:10" ht="15.75" customHeight="1" x14ac:dyDescent="0.2">
      <c r="A175" s="794"/>
      <c r="B175" s="572"/>
      <c r="C175" s="573" t="s">
        <v>45</v>
      </c>
      <c r="D175" s="574">
        <f>SUM(D176:D183)</f>
        <v>0</v>
      </c>
      <c r="E175" s="575"/>
      <c r="F175" s="575"/>
      <c r="G175" s="574">
        <f>SUM(G176:G183)</f>
        <v>0</v>
      </c>
      <c r="H175" s="577">
        <f>SUM(H176:H183)</f>
        <v>0</v>
      </c>
      <c r="I175" s="384"/>
      <c r="J175" s="384"/>
    </row>
    <row r="176" spans="1:10" ht="15.75" customHeight="1" x14ac:dyDescent="0.2">
      <c r="A176" s="794"/>
      <c r="B176" s="578">
        <v>53204010000000</v>
      </c>
      <c r="C176" s="579" t="s">
        <v>47</v>
      </c>
      <c r="D176" s="592">
        <v>0</v>
      </c>
      <c r="E176" s="592">
        <v>0</v>
      </c>
      <c r="F176" s="592">
        <v>0</v>
      </c>
      <c r="G176" s="583">
        <f t="shared" si="36"/>
        <v>0</v>
      </c>
      <c r="H176" s="584">
        <f t="shared" si="35"/>
        <v>0</v>
      </c>
      <c r="I176" s="384"/>
      <c r="J176" s="384"/>
    </row>
    <row r="177" spans="1:10" ht="15.75" customHeight="1" x14ac:dyDescent="0.2">
      <c r="A177" s="794"/>
      <c r="B177" s="597">
        <v>53204040200000</v>
      </c>
      <c r="C177" s="579" t="s">
        <v>213</v>
      </c>
      <c r="D177" s="592">
        <v>0</v>
      </c>
      <c r="E177" s="592">
        <v>0</v>
      </c>
      <c r="F177" s="592">
        <v>0</v>
      </c>
      <c r="G177" s="583">
        <f t="shared" si="36"/>
        <v>0</v>
      </c>
      <c r="H177" s="584">
        <f t="shared" si="35"/>
        <v>0</v>
      </c>
      <c r="I177" s="384"/>
      <c r="J177" s="384"/>
    </row>
    <row r="178" spans="1:10" ht="15.75" customHeight="1" x14ac:dyDescent="0.2">
      <c r="A178" s="794"/>
      <c r="B178" s="578">
        <v>53204060000000</v>
      </c>
      <c r="C178" s="579" t="s">
        <v>49</v>
      </c>
      <c r="D178" s="592">
        <v>0</v>
      </c>
      <c r="E178" s="592">
        <v>0</v>
      </c>
      <c r="F178" s="592">
        <v>0</v>
      </c>
      <c r="G178" s="583">
        <f t="shared" si="36"/>
        <v>0</v>
      </c>
      <c r="H178" s="584">
        <f t="shared" si="35"/>
        <v>0</v>
      </c>
      <c r="I178" s="384"/>
      <c r="J178" s="384"/>
    </row>
    <row r="179" spans="1:10" ht="15.75" customHeight="1" x14ac:dyDescent="0.2">
      <c r="A179" s="794"/>
      <c r="B179" s="578">
        <v>53204070000000</v>
      </c>
      <c r="C179" s="579" t="s">
        <v>50</v>
      </c>
      <c r="D179" s="592">
        <v>0</v>
      </c>
      <c r="E179" s="592">
        <v>0</v>
      </c>
      <c r="F179" s="592">
        <v>0</v>
      </c>
      <c r="G179" s="583">
        <f t="shared" si="36"/>
        <v>0</v>
      </c>
      <c r="H179" s="584">
        <f t="shared" si="35"/>
        <v>0</v>
      </c>
      <c r="I179" s="384"/>
      <c r="J179" s="384"/>
    </row>
    <row r="180" spans="1:10" ht="15.75" customHeight="1" x14ac:dyDescent="0.2">
      <c r="A180" s="794"/>
      <c r="B180" s="578">
        <v>53204080000000</v>
      </c>
      <c r="C180" s="579" t="s">
        <v>51</v>
      </c>
      <c r="D180" s="592">
        <v>0</v>
      </c>
      <c r="E180" s="592">
        <v>0</v>
      </c>
      <c r="F180" s="592">
        <v>0</v>
      </c>
      <c r="G180" s="583">
        <f t="shared" si="36"/>
        <v>0</v>
      </c>
      <c r="H180" s="584">
        <f t="shared" si="35"/>
        <v>0</v>
      </c>
      <c r="I180" s="384"/>
      <c r="J180" s="384"/>
    </row>
    <row r="181" spans="1:10" ht="15.75" customHeight="1" x14ac:dyDescent="0.2">
      <c r="A181" s="794"/>
      <c r="B181" s="578">
        <v>53214010000000</v>
      </c>
      <c r="C181" s="579" t="s">
        <v>52</v>
      </c>
      <c r="D181" s="598">
        <v>0</v>
      </c>
      <c r="E181" s="598">
        <v>0</v>
      </c>
      <c r="F181" s="598">
        <v>0</v>
      </c>
      <c r="G181" s="583">
        <f t="shared" si="36"/>
        <v>0</v>
      </c>
      <c r="H181" s="584">
        <f t="shared" si="35"/>
        <v>0</v>
      </c>
      <c r="I181" s="384"/>
      <c r="J181" s="384"/>
    </row>
    <row r="182" spans="1:10" ht="15.75" customHeight="1" x14ac:dyDescent="0.2">
      <c r="A182" s="794"/>
      <c r="B182" s="578">
        <v>53214040000000</v>
      </c>
      <c r="C182" s="579" t="s">
        <v>187</v>
      </c>
      <c r="D182" s="598">
        <v>0</v>
      </c>
      <c r="E182" s="598">
        <v>0</v>
      </c>
      <c r="F182" s="598">
        <v>0</v>
      </c>
      <c r="G182" s="583">
        <f t="shared" si="36"/>
        <v>0</v>
      </c>
      <c r="H182" s="584">
        <f t="shared" si="35"/>
        <v>0</v>
      </c>
      <c r="I182" s="384"/>
      <c r="J182" s="384"/>
    </row>
    <row r="183" spans="1:10" ht="15.75" customHeight="1" x14ac:dyDescent="0.2">
      <c r="A183" s="794"/>
      <c r="B183" s="588">
        <v>53204020100000</v>
      </c>
      <c r="C183" s="579" t="s">
        <v>179</v>
      </c>
      <c r="D183" s="592">
        <v>0</v>
      </c>
      <c r="E183" s="592">
        <v>0</v>
      </c>
      <c r="F183" s="592">
        <v>0</v>
      </c>
      <c r="G183" s="583">
        <f t="shared" si="36"/>
        <v>0</v>
      </c>
      <c r="H183" s="584">
        <f t="shared" si="35"/>
        <v>0</v>
      </c>
      <c r="I183" s="384"/>
      <c r="J183" s="384"/>
    </row>
    <row r="184" spans="1:10" ht="15.75" customHeight="1" x14ac:dyDescent="0.2">
      <c r="A184" s="794"/>
      <c r="B184" s="572"/>
      <c r="C184" s="573" t="s">
        <v>55</v>
      </c>
      <c r="D184" s="574">
        <f>SUM(D185:D192)</f>
        <v>0</v>
      </c>
      <c r="E184" s="575"/>
      <c r="F184" s="575"/>
      <c r="G184" s="574">
        <f>SUM(G185:G192)</f>
        <v>0</v>
      </c>
      <c r="H184" s="577">
        <f>SUM(H185:H192)</f>
        <v>0</v>
      </c>
      <c r="I184" s="384"/>
      <c r="J184" s="384"/>
    </row>
    <row r="185" spans="1:10" ht="15.75" customHeight="1" x14ac:dyDescent="0.2">
      <c r="A185" s="794"/>
      <c r="B185" s="578">
        <v>53207010000000</v>
      </c>
      <c r="C185" s="579" t="s">
        <v>56</v>
      </c>
      <c r="D185" s="592">
        <v>0</v>
      </c>
      <c r="E185" s="592">
        <v>0</v>
      </c>
      <c r="F185" s="592">
        <v>0</v>
      </c>
      <c r="G185" s="583">
        <f t="shared" si="36"/>
        <v>0</v>
      </c>
      <c r="H185" s="584">
        <f t="shared" si="35"/>
        <v>0</v>
      </c>
      <c r="I185" s="384"/>
      <c r="J185" s="384"/>
    </row>
    <row r="186" spans="1:10" ht="15.75" customHeight="1" x14ac:dyDescent="0.2">
      <c r="A186" s="794"/>
      <c r="B186" s="578">
        <v>53207020000000</v>
      </c>
      <c r="C186" s="579" t="s">
        <v>57</v>
      </c>
      <c r="D186" s="592">
        <v>0</v>
      </c>
      <c r="E186" s="592">
        <v>0</v>
      </c>
      <c r="F186" s="592">
        <v>0</v>
      </c>
      <c r="G186" s="583">
        <f t="shared" si="36"/>
        <v>0</v>
      </c>
      <c r="H186" s="584">
        <f t="shared" si="35"/>
        <v>0</v>
      </c>
      <c r="I186" s="384"/>
      <c r="J186" s="384"/>
    </row>
    <row r="187" spans="1:10" ht="15.75" customHeight="1" x14ac:dyDescent="0.2">
      <c r="A187" s="794"/>
      <c r="B187" s="578">
        <v>53208020000000</v>
      </c>
      <c r="C187" s="579" t="s">
        <v>170</v>
      </c>
      <c r="D187" s="592">
        <v>0</v>
      </c>
      <c r="E187" s="592">
        <v>0</v>
      </c>
      <c r="F187" s="592">
        <v>0</v>
      </c>
      <c r="G187" s="583">
        <f t="shared" si="36"/>
        <v>0</v>
      </c>
      <c r="H187" s="584">
        <f t="shared" si="35"/>
        <v>0</v>
      </c>
      <c r="I187" s="384"/>
      <c r="J187" s="384"/>
    </row>
    <row r="188" spans="1:10" ht="15.75" customHeight="1" x14ac:dyDescent="0.2">
      <c r="A188" s="794"/>
      <c r="B188" s="578">
        <v>53208990000000</v>
      </c>
      <c r="C188" s="579" t="s">
        <v>188</v>
      </c>
      <c r="D188" s="592">
        <v>0</v>
      </c>
      <c r="E188" s="592">
        <v>0</v>
      </c>
      <c r="F188" s="592">
        <v>0</v>
      </c>
      <c r="G188" s="583">
        <f t="shared" si="36"/>
        <v>0</v>
      </c>
      <c r="H188" s="584">
        <f t="shared" si="35"/>
        <v>0</v>
      </c>
      <c r="I188" s="384"/>
      <c r="J188" s="384"/>
    </row>
    <row r="189" spans="1:10" ht="15.75" customHeight="1" x14ac:dyDescent="0.2">
      <c r="A189" s="794"/>
      <c r="B189" s="588">
        <v>53210020300000</v>
      </c>
      <c r="C189" s="579" t="s">
        <v>190</v>
      </c>
      <c r="D189" s="591">
        <v>0</v>
      </c>
      <c r="E189" s="591">
        <v>0</v>
      </c>
      <c r="F189" s="593">
        <v>0</v>
      </c>
      <c r="G189" s="583">
        <f t="shared" si="36"/>
        <v>0</v>
      </c>
      <c r="H189" s="584">
        <f t="shared" si="35"/>
        <v>0</v>
      </c>
      <c r="I189" s="384"/>
      <c r="J189" s="384"/>
    </row>
    <row r="190" spans="1:10" ht="15.75" customHeight="1" x14ac:dyDescent="0.2">
      <c r="A190" s="794"/>
      <c r="B190" s="578">
        <v>53208990000000</v>
      </c>
      <c r="C190" s="579" t="s">
        <v>191</v>
      </c>
      <c r="D190" s="592">
        <v>0</v>
      </c>
      <c r="E190" s="592">
        <v>0</v>
      </c>
      <c r="F190" s="592">
        <v>0</v>
      </c>
      <c r="G190" s="583">
        <f t="shared" si="36"/>
        <v>0</v>
      </c>
      <c r="H190" s="584">
        <f t="shared" si="35"/>
        <v>0</v>
      </c>
      <c r="I190" s="384"/>
      <c r="J190" s="384"/>
    </row>
    <row r="191" spans="1:10" ht="15.75" customHeight="1" x14ac:dyDescent="0.2">
      <c r="A191" s="794"/>
      <c r="B191" s="578">
        <v>53209990000000</v>
      </c>
      <c r="C191" s="579" t="s">
        <v>189</v>
      </c>
      <c r="D191" s="592">
        <v>0</v>
      </c>
      <c r="E191" s="592">
        <v>0</v>
      </c>
      <c r="F191" s="592">
        <v>0</v>
      </c>
      <c r="G191" s="583">
        <f t="shared" si="36"/>
        <v>0</v>
      </c>
      <c r="H191" s="584">
        <f t="shared" si="35"/>
        <v>0</v>
      </c>
      <c r="I191" s="384"/>
      <c r="J191" s="384"/>
    </row>
    <row r="192" spans="1:10" ht="15.75" customHeight="1" x14ac:dyDescent="0.2">
      <c r="A192" s="794"/>
      <c r="B192" s="578">
        <v>53210020100000</v>
      </c>
      <c r="C192" s="579" t="s">
        <v>64</v>
      </c>
      <c r="D192" s="592">
        <v>0</v>
      </c>
      <c r="E192" s="592">
        <v>0</v>
      </c>
      <c r="F192" s="592">
        <v>0</v>
      </c>
      <c r="G192" s="583">
        <f t="shared" si="36"/>
        <v>0</v>
      </c>
      <c r="H192" s="584">
        <f t="shared" si="35"/>
        <v>0</v>
      </c>
      <c r="I192" s="384"/>
      <c r="J192" s="384"/>
    </row>
    <row r="193" spans="1:10" ht="15.75" customHeight="1" x14ac:dyDescent="0.2">
      <c r="A193" s="794"/>
      <c r="B193" s="572"/>
      <c r="C193" s="573" t="s">
        <v>65</v>
      </c>
      <c r="D193" s="574">
        <f>SUM(D194:D200)</f>
        <v>0</v>
      </c>
      <c r="E193" s="575"/>
      <c r="F193" s="575"/>
      <c r="G193" s="574">
        <f>SUM(G194:G200)</f>
        <v>0</v>
      </c>
      <c r="H193" s="577">
        <f>SUM(H194:H200)</f>
        <v>0</v>
      </c>
      <c r="I193" s="384"/>
      <c r="J193" s="384"/>
    </row>
    <row r="194" spans="1:10" ht="15.75" customHeight="1" x14ac:dyDescent="0.2">
      <c r="A194" s="794"/>
      <c r="B194" s="578">
        <v>53206030000000</v>
      </c>
      <c r="C194" s="579" t="s">
        <v>99</v>
      </c>
      <c r="D194" s="592">
        <v>0</v>
      </c>
      <c r="E194" s="592">
        <v>0</v>
      </c>
      <c r="F194" s="592">
        <v>0</v>
      </c>
      <c r="G194" s="583">
        <f t="shared" si="36"/>
        <v>0</v>
      </c>
      <c r="H194" s="584">
        <f t="shared" si="35"/>
        <v>0</v>
      </c>
      <c r="I194" s="384"/>
      <c r="J194" s="384"/>
    </row>
    <row r="195" spans="1:10" ht="15.75" customHeight="1" x14ac:dyDescent="0.2">
      <c r="A195" s="794"/>
      <c r="B195" s="578">
        <v>53206040000000</v>
      </c>
      <c r="C195" s="579" t="s">
        <v>100</v>
      </c>
      <c r="D195" s="592">
        <v>0</v>
      </c>
      <c r="E195" s="592">
        <v>0</v>
      </c>
      <c r="F195" s="592">
        <v>0</v>
      </c>
      <c r="G195" s="583">
        <f t="shared" si="36"/>
        <v>0</v>
      </c>
      <c r="H195" s="584">
        <f t="shared" si="35"/>
        <v>0</v>
      </c>
      <c r="I195" s="384"/>
      <c r="J195" s="384"/>
    </row>
    <row r="196" spans="1:10" ht="15.75" customHeight="1" x14ac:dyDescent="0.2">
      <c r="A196" s="794"/>
      <c r="B196" s="578">
        <v>53206060000000</v>
      </c>
      <c r="C196" s="579" t="s">
        <v>192</v>
      </c>
      <c r="D196" s="592">
        <v>0</v>
      </c>
      <c r="E196" s="592">
        <v>0</v>
      </c>
      <c r="F196" s="592">
        <v>0</v>
      </c>
      <c r="G196" s="583">
        <f t="shared" si="36"/>
        <v>0</v>
      </c>
      <c r="H196" s="584">
        <f t="shared" si="35"/>
        <v>0</v>
      </c>
      <c r="I196" s="384"/>
      <c r="J196" s="384"/>
    </row>
    <row r="197" spans="1:10" ht="15.75" customHeight="1" x14ac:dyDescent="0.2">
      <c r="A197" s="794"/>
      <c r="B197" s="578">
        <v>53206070000000</v>
      </c>
      <c r="C197" s="579" t="s">
        <v>102</v>
      </c>
      <c r="D197" s="592">
        <v>0</v>
      </c>
      <c r="E197" s="592">
        <v>0</v>
      </c>
      <c r="F197" s="592">
        <v>0</v>
      </c>
      <c r="G197" s="583">
        <f t="shared" si="36"/>
        <v>0</v>
      </c>
      <c r="H197" s="584">
        <f t="shared" si="35"/>
        <v>0</v>
      </c>
      <c r="I197" s="384"/>
      <c r="J197" s="384"/>
    </row>
    <row r="198" spans="1:10" ht="15.75" customHeight="1" x14ac:dyDescent="0.2">
      <c r="A198" s="794"/>
      <c r="B198" s="578">
        <v>53206990000000</v>
      </c>
      <c r="C198" s="579" t="s">
        <v>193</v>
      </c>
      <c r="D198" s="592">
        <v>0</v>
      </c>
      <c r="E198" s="592">
        <v>0</v>
      </c>
      <c r="F198" s="592">
        <v>0</v>
      </c>
      <c r="G198" s="583">
        <f t="shared" si="36"/>
        <v>0</v>
      </c>
      <c r="H198" s="584">
        <f t="shared" si="35"/>
        <v>0</v>
      </c>
      <c r="I198" s="384"/>
      <c r="J198" s="384"/>
    </row>
    <row r="199" spans="1:10" ht="15.75" customHeight="1" x14ac:dyDescent="0.2">
      <c r="A199" s="794"/>
      <c r="B199" s="578">
        <v>53208030000000</v>
      </c>
      <c r="C199" s="579" t="s">
        <v>104</v>
      </c>
      <c r="D199" s="592">
        <v>0</v>
      </c>
      <c r="E199" s="592">
        <v>0</v>
      </c>
      <c r="F199" s="592">
        <v>0</v>
      </c>
      <c r="G199" s="583">
        <f t="shared" si="36"/>
        <v>0</v>
      </c>
      <c r="H199" s="584">
        <f t="shared" si="35"/>
        <v>0</v>
      </c>
      <c r="I199" s="384"/>
      <c r="J199" s="384"/>
    </row>
    <row r="200" spans="1:10" ht="15.75" customHeight="1" x14ac:dyDescent="0.2">
      <c r="A200" s="794"/>
      <c r="B200" s="578">
        <v>53206990000000</v>
      </c>
      <c r="C200" s="579" t="s">
        <v>214</v>
      </c>
      <c r="D200" s="592">
        <v>0</v>
      </c>
      <c r="E200" s="592">
        <v>0</v>
      </c>
      <c r="F200" s="592">
        <v>0</v>
      </c>
      <c r="G200" s="583">
        <f t="shared" si="36"/>
        <v>0</v>
      </c>
      <c r="H200" s="584">
        <f t="shared" si="35"/>
        <v>0</v>
      </c>
      <c r="I200" s="384"/>
      <c r="J200" s="384"/>
    </row>
    <row r="201" spans="1:10" ht="15.75" customHeight="1" x14ac:dyDescent="0.2">
      <c r="A201" s="794"/>
      <c r="B201" s="572"/>
      <c r="C201" s="573" t="s">
        <v>66</v>
      </c>
      <c r="D201" s="574">
        <f>SUM(D202:D202)</f>
        <v>0</v>
      </c>
      <c r="E201" s="575"/>
      <c r="F201" s="575"/>
      <c r="G201" s="574">
        <f>SUM(G202:G202)</f>
        <v>0</v>
      </c>
      <c r="H201" s="577">
        <f>SUM(H202:H202)</f>
        <v>0</v>
      </c>
      <c r="I201" s="384"/>
      <c r="J201" s="384"/>
    </row>
    <row r="202" spans="1:10" ht="15.75" customHeight="1" x14ac:dyDescent="0.2">
      <c r="A202" s="794"/>
      <c r="B202" s="599"/>
      <c r="C202" s="600" t="s">
        <v>215</v>
      </c>
      <c r="D202" s="585">
        <v>0</v>
      </c>
      <c r="E202" s="585">
        <v>0</v>
      </c>
      <c r="F202" s="587">
        <v>0</v>
      </c>
      <c r="G202" s="583">
        <f t="shared" si="36"/>
        <v>0</v>
      </c>
      <c r="H202" s="601">
        <f t="shared" si="35"/>
        <v>0</v>
      </c>
      <c r="I202" s="607" t="s">
        <v>216</v>
      </c>
      <c r="J202" s="608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795"/>
      <c r="B203" s="602"/>
      <c r="C203" s="603" t="s">
        <v>105</v>
      </c>
      <c r="D203" s="604">
        <f>SUM(D140,D167)</f>
        <v>0</v>
      </c>
      <c r="E203" s="605"/>
      <c r="F203" s="605"/>
      <c r="G203" s="604">
        <f>SUM(G140,G167)</f>
        <v>0</v>
      </c>
      <c r="H203" s="606">
        <f>SUM(H140,H167)</f>
        <v>0</v>
      </c>
      <c r="I203" s="609" t="s">
        <v>217</v>
      </c>
      <c r="J203" s="610">
        <f>+H203-J202</f>
        <v>0</v>
      </c>
    </row>
    <row r="204" spans="1:10" x14ac:dyDescent="0.2">
      <c r="B204" s="377"/>
      <c r="C204" s="378" t="s">
        <v>105</v>
      </c>
      <c r="D204" s="379">
        <f>SUM(D203+D75)</f>
        <v>60825412.609299995</v>
      </c>
      <c r="E204" s="379">
        <f>SUM(E203+E75)</f>
        <v>0</v>
      </c>
      <c r="F204" s="379">
        <f>SUM(F203+F75)</f>
        <v>0</v>
      </c>
      <c r="G204" s="379">
        <f>SUM(G203+G75)</f>
        <v>16120500</v>
      </c>
      <c r="H204" s="379">
        <f>SUM(H203+H75+H139)</f>
        <v>116815325.52830002</v>
      </c>
    </row>
    <row r="206" spans="1:10" x14ac:dyDescent="0.2">
      <c r="I206" s="402" t="s">
        <v>218</v>
      </c>
      <c r="J206" s="403">
        <f>SUM(J202+J74+J138)</f>
        <v>13334015.5</v>
      </c>
    </row>
    <row r="207" spans="1:10" x14ac:dyDescent="0.2">
      <c r="I207" s="410" t="s">
        <v>219</v>
      </c>
      <c r="J207" s="411">
        <f>SUM(J203+J75+J139)</f>
        <v>103481310.02830002</v>
      </c>
    </row>
  </sheetData>
  <mergeCells count="15">
    <mergeCell ref="M17:M18"/>
    <mergeCell ref="N17:N18"/>
    <mergeCell ref="O17:O18"/>
    <mergeCell ref="L17:L18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4" zoomScale="80" zoomScaleNormal="80" workbookViewId="0">
      <selection activeCell="D22" sqref="D22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204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196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97" t="s">
        <v>0</v>
      </c>
      <c r="E4" s="164" t="str">
        <f>+'B) Reajuste Tarifas y Ocupación'!F5</f>
        <v>BIENIQUE</v>
      </c>
      <c r="F4" s="55"/>
      <c r="G4" s="56"/>
      <c r="H4" s="56"/>
      <c r="I4" s="56"/>
      <c r="J4" s="5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98"/>
      <c r="E5" s="101"/>
      <c r="F5" s="101"/>
      <c r="G5" s="101"/>
      <c r="H5" s="101"/>
      <c r="I5" s="101"/>
      <c r="J5" s="101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98"/>
      <c r="E6" s="101"/>
      <c r="F6" s="101"/>
      <c r="G6" s="101"/>
      <c r="H6" s="101"/>
      <c r="I6" s="101"/>
      <c r="J6" s="101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3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94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95"/>
    </row>
    <row r="9" spans="1:242" ht="15.75" customHeight="1" x14ac:dyDescent="0.2">
      <c r="A9" s="847" t="s">
        <v>153</v>
      </c>
      <c r="B9" s="847"/>
      <c r="C9" s="847"/>
      <c r="D9" s="847"/>
      <c r="E9" s="847"/>
      <c r="F9" s="847"/>
      <c r="G9" s="847"/>
      <c r="H9" s="847"/>
      <c r="I9" s="100"/>
      <c r="J9" s="100"/>
      <c r="K9" s="100"/>
      <c r="L9" s="100"/>
      <c r="M9" s="815" t="s">
        <v>154</v>
      </c>
      <c r="N9" s="815"/>
      <c r="O9" s="815"/>
      <c r="P9" s="815"/>
      <c r="Q9" s="815"/>
      <c r="R9" s="815"/>
      <c r="S9" s="815"/>
      <c r="U9" s="815" t="s">
        <v>155</v>
      </c>
      <c r="V9" s="815"/>
      <c r="W9" s="815"/>
      <c r="X9" s="135"/>
      <c r="Y9" s="196"/>
      <c r="Z9" s="815" t="s">
        <v>210</v>
      </c>
      <c r="AA9" s="815"/>
      <c r="AB9" s="815"/>
      <c r="AC9" s="815"/>
      <c r="AD9" s="815"/>
      <c r="AE9" s="815"/>
      <c r="AF9" s="135"/>
      <c r="AG9" s="815" t="s">
        <v>157</v>
      </c>
      <c r="AH9" s="815"/>
      <c r="AI9" s="815"/>
      <c r="AJ9" s="815"/>
      <c r="AK9" s="815"/>
      <c r="AL9" s="815"/>
      <c r="AM9" s="36"/>
      <c r="AN9" s="815" t="s">
        <v>158</v>
      </c>
      <c r="AO9" s="815"/>
      <c r="AP9" s="815"/>
      <c r="AQ9" s="815"/>
      <c r="AR9" s="815"/>
      <c r="AS9" s="815"/>
      <c r="AT9" s="195"/>
    </row>
    <row r="10" spans="1:242" ht="13.5" customHeight="1" x14ac:dyDescent="0.2">
      <c r="B10" s="23"/>
      <c r="C10" s="98"/>
      <c r="D10" s="98"/>
      <c r="E10" s="101"/>
      <c r="F10" s="101"/>
      <c r="G10" s="101"/>
      <c r="H10" s="101"/>
      <c r="I10" s="101"/>
      <c r="J10" s="101"/>
      <c r="M10" s="815"/>
      <c r="N10" s="815"/>
      <c r="O10" s="815"/>
      <c r="P10" s="815"/>
      <c r="Q10" s="815"/>
      <c r="R10" s="815"/>
      <c r="S10" s="815"/>
      <c r="U10" s="815"/>
      <c r="V10" s="815"/>
      <c r="W10" s="815"/>
      <c r="Y10" s="194"/>
      <c r="Z10" s="815"/>
      <c r="AA10" s="815"/>
      <c r="AB10" s="815"/>
      <c r="AC10" s="815"/>
      <c r="AD10" s="815"/>
      <c r="AE10" s="815"/>
      <c r="AF10" s="36"/>
      <c r="AG10" s="815"/>
      <c r="AH10" s="815"/>
      <c r="AI10" s="815"/>
      <c r="AJ10" s="815"/>
      <c r="AK10" s="815"/>
      <c r="AL10" s="815"/>
      <c r="AM10" s="36"/>
      <c r="AN10" s="815"/>
      <c r="AO10" s="815"/>
      <c r="AP10" s="815"/>
      <c r="AQ10" s="815"/>
      <c r="AR10" s="815"/>
      <c r="AS10" s="815"/>
      <c r="AT10" s="195"/>
    </row>
    <row r="11" spans="1:242" x14ac:dyDescent="0.2">
      <c r="J11" s="60" t="s">
        <v>4</v>
      </c>
      <c r="K11" s="58">
        <v>0.03</v>
      </c>
      <c r="Y11" s="194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95"/>
    </row>
    <row r="12" spans="1:242" ht="12.75" customHeight="1" thickBot="1" x14ac:dyDescent="0.25">
      <c r="K12" s="36"/>
      <c r="L12" s="36"/>
      <c r="M12" s="867"/>
      <c r="N12" s="867"/>
      <c r="O12" s="867"/>
      <c r="P12" s="867"/>
      <c r="Q12" s="867"/>
      <c r="R12" s="867"/>
      <c r="Y12" s="194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95"/>
    </row>
    <row r="13" spans="1:242" ht="21.75" customHeight="1" x14ac:dyDescent="0.2">
      <c r="A13" s="856" t="s">
        <v>117</v>
      </c>
      <c r="B13" s="857"/>
      <c r="C13" s="860" t="s">
        <v>73</v>
      </c>
      <c r="D13" s="860" t="s">
        <v>74</v>
      </c>
      <c r="E13" s="862" t="s">
        <v>3</v>
      </c>
      <c r="F13" s="862" t="s">
        <v>81</v>
      </c>
      <c r="G13" s="864" t="s">
        <v>220</v>
      </c>
      <c r="H13" s="865"/>
      <c r="I13" s="865"/>
      <c r="J13" s="866"/>
      <c r="K13" s="852" t="s">
        <v>223</v>
      </c>
      <c r="L13" s="34"/>
      <c r="M13" s="829" t="s">
        <v>69</v>
      </c>
      <c r="N13" s="854"/>
      <c r="O13" s="817" t="s">
        <v>70</v>
      </c>
      <c r="P13" s="818"/>
      <c r="Q13" s="855" t="s">
        <v>71</v>
      </c>
      <c r="R13" s="820"/>
      <c r="S13" s="813" t="s">
        <v>145</v>
      </c>
      <c r="U13" s="848" t="s">
        <v>75</v>
      </c>
      <c r="V13" s="850" t="s">
        <v>76</v>
      </c>
      <c r="W13" s="816" t="s">
        <v>234</v>
      </c>
      <c r="Y13" s="194"/>
      <c r="Z13" s="823" t="s">
        <v>69</v>
      </c>
      <c r="AA13" s="824"/>
      <c r="AB13" s="825" t="s">
        <v>70</v>
      </c>
      <c r="AC13" s="826"/>
      <c r="AD13" s="827" t="s">
        <v>71</v>
      </c>
      <c r="AE13" s="828"/>
      <c r="AF13" s="36"/>
      <c r="AG13" s="829" t="s">
        <v>69</v>
      </c>
      <c r="AH13" s="830"/>
      <c r="AI13" s="817" t="s">
        <v>70</v>
      </c>
      <c r="AJ13" s="818"/>
      <c r="AK13" s="819" t="s">
        <v>71</v>
      </c>
      <c r="AL13" s="820"/>
      <c r="AM13" s="36"/>
      <c r="AN13" s="829" t="s">
        <v>69</v>
      </c>
      <c r="AO13" s="830"/>
      <c r="AP13" s="817" t="s">
        <v>70</v>
      </c>
      <c r="AQ13" s="818"/>
      <c r="AR13" s="819" t="s">
        <v>71</v>
      </c>
      <c r="AS13" s="820"/>
      <c r="AT13" s="195"/>
    </row>
    <row r="14" spans="1:242" s="36" customFormat="1" ht="39" thickBot="1" x14ac:dyDescent="0.25">
      <c r="A14" s="858"/>
      <c r="B14" s="859"/>
      <c r="C14" s="861"/>
      <c r="D14" s="861"/>
      <c r="E14" s="863"/>
      <c r="F14" s="863"/>
      <c r="G14" s="615" t="s">
        <v>221</v>
      </c>
      <c r="H14" s="616" t="s">
        <v>115</v>
      </c>
      <c r="I14" s="615" t="s">
        <v>116</v>
      </c>
      <c r="J14" s="617" t="s">
        <v>222</v>
      </c>
      <c r="K14" s="853"/>
      <c r="L14" s="34"/>
      <c r="M14" s="175" t="s">
        <v>36</v>
      </c>
      <c r="N14" s="177" t="s">
        <v>37</v>
      </c>
      <c r="O14" s="185" t="s">
        <v>36</v>
      </c>
      <c r="P14" s="186" t="s">
        <v>37</v>
      </c>
      <c r="Q14" s="178" t="s">
        <v>36</v>
      </c>
      <c r="R14" s="176" t="s">
        <v>37</v>
      </c>
      <c r="S14" s="814"/>
      <c r="U14" s="849"/>
      <c r="V14" s="851"/>
      <c r="W14" s="816"/>
      <c r="Y14" s="194"/>
      <c r="Z14" s="175" t="s">
        <v>36</v>
      </c>
      <c r="AA14" s="177" t="s">
        <v>37</v>
      </c>
      <c r="AB14" s="185" t="s">
        <v>36</v>
      </c>
      <c r="AC14" s="186" t="s">
        <v>37</v>
      </c>
      <c r="AD14" s="178" t="s">
        <v>36</v>
      </c>
      <c r="AE14" s="176" t="s">
        <v>37</v>
      </c>
      <c r="AG14" s="197" t="s">
        <v>36</v>
      </c>
      <c r="AH14" s="198" t="s">
        <v>37</v>
      </c>
      <c r="AI14" s="199" t="s">
        <v>36</v>
      </c>
      <c r="AJ14" s="200" t="s">
        <v>37</v>
      </c>
      <c r="AK14" s="201" t="s">
        <v>36</v>
      </c>
      <c r="AL14" s="202" t="s">
        <v>37</v>
      </c>
      <c r="AN14" s="821" t="s">
        <v>146</v>
      </c>
      <c r="AO14" s="822"/>
      <c r="AP14" s="808" t="s">
        <v>146</v>
      </c>
      <c r="AQ14" s="809"/>
      <c r="AR14" s="810" t="s">
        <v>147</v>
      </c>
      <c r="AS14" s="811"/>
      <c r="AT14" s="195"/>
    </row>
    <row r="15" spans="1:242" s="36" customFormat="1" ht="12.75" customHeight="1" thickBot="1" x14ac:dyDescent="0.25">
      <c r="A15" s="837" t="s">
        <v>142</v>
      </c>
      <c r="B15" s="839" t="s">
        <v>93</v>
      </c>
      <c r="C15" s="70" t="s">
        <v>269</v>
      </c>
      <c r="D15" s="541" t="s">
        <v>270</v>
      </c>
      <c r="E15" s="611" t="s">
        <v>271</v>
      </c>
      <c r="F15" s="612" t="s">
        <v>118</v>
      </c>
      <c r="G15" s="487">
        <v>21382120</v>
      </c>
      <c r="H15" s="487">
        <v>188000</v>
      </c>
      <c r="I15" s="613">
        <v>125736</v>
      </c>
      <c r="J15" s="614">
        <f>SUM(G15:I15)</f>
        <v>21695856</v>
      </c>
      <c r="K15" s="120">
        <f t="shared" ref="K15:K69" si="0">+J15*(1+$K$11)</f>
        <v>22346731.68</v>
      </c>
      <c r="L15" s="34"/>
      <c r="M15" s="148">
        <v>0.45</v>
      </c>
      <c r="N15" s="168">
        <f t="shared" ref="N15:N61" si="1">+$K15*M15</f>
        <v>10056029.256000001</v>
      </c>
      <c r="O15" s="148">
        <v>0.4</v>
      </c>
      <c r="P15" s="182">
        <f t="shared" ref="P15:P61" si="2">+$K15*O15</f>
        <v>8938692.6720000003</v>
      </c>
      <c r="Q15" s="179">
        <v>0.15</v>
      </c>
      <c r="R15" s="168">
        <f t="shared" ref="R15:R61" si="3">+$K15*Q15</f>
        <v>3352009.7519999999</v>
      </c>
      <c r="S15" s="172">
        <f>+M15+O15+Q15</f>
        <v>1</v>
      </c>
      <c r="U15" s="139"/>
      <c r="V15" s="136" t="s">
        <v>11</v>
      </c>
      <c r="W15" s="142">
        <f>SUM(W16,W20)</f>
        <v>6507800</v>
      </c>
      <c r="Y15" s="194"/>
      <c r="Z15" s="187">
        <f t="shared" ref="Z15:AE15" si="4">+M62</f>
        <v>0.46685128696479927</v>
      </c>
      <c r="AA15" s="189">
        <f t="shared" si="4"/>
        <v>29709525.9485</v>
      </c>
      <c r="AB15" s="187">
        <f t="shared" si="4"/>
        <v>0.37208582963538928</v>
      </c>
      <c r="AC15" s="190">
        <f t="shared" si="4"/>
        <v>23678832.894500002</v>
      </c>
      <c r="AD15" s="188">
        <f t="shared" si="4"/>
        <v>0.16106288339981134</v>
      </c>
      <c r="AE15" s="190">
        <f t="shared" si="4"/>
        <v>10249734.866999999</v>
      </c>
      <c r="AG15" s="209">
        <f>+Z15</f>
        <v>0.46685128696479927</v>
      </c>
      <c r="AH15" s="203">
        <f>+AG15*W80</f>
        <v>3738451.7357567195</v>
      </c>
      <c r="AI15" s="210">
        <f>+AB15</f>
        <v>0.37208582963538928</v>
      </c>
      <c r="AJ15" s="203">
        <f>+AI15*W80</f>
        <v>2979588.9065542701</v>
      </c>
      <c r="AK15" s="211">
        <f>+AD15</f>
        <v>0.16106288339981134</v>
      </c>
      <c r="AL15" s="204">
        <f>+AK15*W80</f>
        <v>1289759.3576890093</v>
      </c>
      <c r="AN15" s="806">
        <f>+AH15+AA15</f>
        <v>33447977.684256718</v>
      </c>
      <c r="AO15" s="807"/>
      <c r="AP15" s="806">
        <f>+AJ15+AC15+K70</f>
        <v>26658421.801054273</v>
      </c>
      <c r="AQ15" s="807"/>
      <c r="AR15" s="806">
        <f>+AL15+AE15</f>
        <v>11539494.224689009</v>
      </c>
      <c r="AS15" s="812"/>
      <c r="AT15" s="195"/>
    </row>
    <row r="16" spans="1:242" s="36" customFormat="1" x14ac:dyDescent="0.2">
      <c r="A16" s="837"/>
      <c r="B16" s="840"/>
      <c r="C16" s="68" t="s">
        <v>272</v>
      </c>
      <c r="D16" s="116" t="s">
        <v>273</v>
      </c>
      <c r="E16" s="117" t="s">
        <v>274</v>
      </c>
      <c r="F16" s="118" t="s">
        <v>118</v>
      </c>
      <c r="G16" s="106">
        <v>7160053</v>
      </c>
      <c r="H16" s="106">
        <v>328000</v>
      </c>
      <c r="I16" s="123">
        <v>125736</v>
      </c>
      <c r="J16" s="126">
        <f t="shared" ref="J16:J69" si="5">SUM(G16:I16)</f>
        <v>7613789</v>
      </c>
      <c r="K16" s="121">
        <f t="shared" si="0"/>
        <v>7842202.6699999999</v>
      </c>
      <c r="L16" s="34"/>
      <c r="M16" s="166">
        <v>0.55000000000000004</v>
      </c>
      <c r="N16" s="169">
        <f t="shared" si="1"/>
        <v>4313211.4685000004</v>
      </c>
      <c r="O16" s="166">
        <v>0.35</v>
      </c>
      <c r="P16" s="167">
        <f t="shared" si="2"/>
        <v>2744770.9345</v>
      </c>
      <c r="Q16" s="180">
        <v>0.1</v>
      </c>
      <c r="R16" s="169">
        <f t="shared" si="3"/>
        <v>784220.26699999999</v>
      </c>
      <c r="S16" s="172">
        <f t="shared" ref="S16:S61" si="6">+M16+O16+Q16</f>
        <v>1</v>
      </c>
      <c r="U16" s="140"/>
      <c r="V16" s="137" t="s">
        <v>12</v>
      </c>
      <c r="W16" s="143">
        <f>SUM(W17:W19)</f>
        <v>0</v>
      </c>
      <c r="Y16" s="194"/>
      <c r="AT16" s="195"/>
    </row>
    <row r="17" spans="1:46" s="36" customFormat="1" ht="12.75" customHeight="1" x14ac:dyDescent="0.2">
      <c r="A17" s="837"/>
      <c r="B17" s="840"/>
      <c r="C17" s="68"/>
      <c r="D17" s="116"/>
      <c r="E17" s="117"/>
      <c r="F17" s="118" t="s">
        <v>118</v>
      </c>
      <c r="G17" s="106">
        <v>0</v>
      </c>
      <c r="H17" s="106">
        <v>0</v>
      </c>
      <c r="I17" s="123">
        <v>0</v>
      </c>
      <c r="J17" s="126">
        <f t="shared" si="5"/>
        <v>0</v>
      </c>
      <c r="K17" s="121">
        <f t="shared" si="0"/>
        <v>0</v>
      </c>
      <c r="L17" s="34"/>
      <c r="M17" s="166">
        <v>0</v>
      </c>
      <c r="N17" s="169">
        <f t="shared" si="1"/>
        <v>0</v>
      </c>
      <c r="O17" s="166">
        <v>0</v>
      </c>
      <c r="P17" s="167">
        <f t="shared" si="2"/>
        <v>0</v>
      </c>
      <c r="Q17" s="180">
        <v>0</v>
      </c>
      <c r="R17" s="169">
        <f t="shared" si="3"/>
        <v>0</v>
      </c>
      <c r="S17" s="172">
        <f t="shared" si="6"/>
        <v>0</v>
      </c>
      <c r="U17" s="141">
        <v>53103050000000</v>
      </c>
      <c r="V17" s="138" t="s">
        <v>13</v>
      </c>
      <c r="W17" s="144">
        <v>0</v>
      </c>
      <c r="Y17" s="194"/>
      <c r="AT17" s="195"/>
    </row>
    <row r="18" spans="1:46" s="36" customFormat="1" ht="13.5" customHeight="1" thickBot="1" x14ac:dyDescent="0.25">
      <c r="A18" s="837"/>
      <c r="B18" s="840"/>
      <c r="C18" s="68"/>
      <c r="D18" s="116"/>
      <c r="E18" s="117"/>
      <c r="F18" s="118" t="s">
        <v>118</v>
      </c>
      <c r="G18" s="106">
        <v>0</v>
      </c>
      <c r="H18" s="106">
        <v>0</v>
      </c>
      <c r="I18" s="123">
        <v>0</v>
      </c>
      <c r="J18" s="126">
        <f t="shared" si="5"/>
        <v>0</v>
      </c>
      <c r="K18" s="121">
        <f t="shared" si="0"/>
        <v>0</v>
      </c>
      <c r="L18" s="34"/>
      <c r="M18" s="166">
        <v>0</v>
      </c>
      <c r="N18" s="169">
        <f t="shared" si="1"/>
        <v>0</v>
      </c>
      <c r="O18" s="166">
        <v>0</v>
      </c>
      <c r="P18" s="167">
        <f t="shared" si="2"/>
        <v>0</v>
      </c>
      <c r="Q18" s="180">
        <v>0</v>
      </c>
      <c r="R18" s="169">
        <f t="shared" si="3"/>
        <v>0</v>
      </c>
      <c r="S18" s="172">
        <f t="shared" si="6"/>
        <v>0</v>
      </c>
      <c r="U18" s="141">
        <v>53103060000000</v>
      </c>
      <c r="V18" s="138" t="s">
        <v>14</v>
      </c>
      <c r="W18" s="144">
        <v>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36" customFormat="1" x14ac:dyDescent="0.2">
      <c r="A19" s="837"/>
      <c r="B19" s="840"/>
      <c r="C19" s="68"/>
      <c r="D19" s="116"/>
      <c r="E19" s="117"/>
      <c r="F19" s="118" t="s">
        <v>118</v>
      </c>
      <c r="G19" s="106">
        <v>0</v>
      </c>
      <c r="H19" s="106">
        <v>0</v>
      </c>
      <c r="I19" s="123">
        <v>0</v>
      </c>
      <c r="J19" s="126">
        <f t="shared" si="5"/>
        <v>0</v>
      </c>
      <c r="K19" s="121">
        <f t="shared" si="0"/>
        <v>0</v>
      </c>
      <c r="L19" s="34"/>
      <c r="M19" s="166">
        <v>0</v>
      </c>
      <c r="N19" s="169">
        <f t="shared" si="1"/>
        <v>0</v>
      </c>
      <c r="O19" s="166">
        <v>0</v>
      </c>
      <c r="P19" s="167">
        <f t="shared" si="2"/>
        <v>0</v>
      </c>
      <c r="Q19" s="180">
        <v>0</v>
      </c>
      <c r="R19" s="169">
        <f t="shared" si="3"/>
        <v>0</v>
      </c>
      <c r="S19" s="172">
        <f t="shared" si="6"/>
        <v>0</v>
      </c>
      <c r="U19" s="141">
        <v>53103080010000</v>
      </c>
      <c r="V19" s="138" t="s">
        <v>15</v>
      </c>
      <c r="W19" s="144">
        <v>0</v>
      </c>
    </row>
    <row r="20" spans="1:46" s="36" customFormat="1" x14ac:dyDescent="0.2">
      <c r="A20" s="837"/>
      <c r="B20" s="840"/>
      <c r="C20" s="68"/>
      <c r="D20" s="116"/>
      <c r="E20" s="117"/>
      <c r="F20" s="118" t="s">
        <v>118</v>
      </c>
      <c r="G20" s="106">
        <v>0</v>
      </c>
      <c r="H20" s="106">
        <v>0</v>
      </c>
      <c r="I20" s="123">
        <v>0</v>
      </c>
      <c r="J20" s="126">
        <f t="shared" si="5"/>
        <v>0</v>
      </c>
      <c r="K20" s="121">
        <f t="shared" si="0"/>
        <v>0</v>
      </c>
      <c r="L20" s="34"/>
      <c r="M20" s="166">
        <v>0</v>
      </c>
      <c r="N20" s="169">
        <f t="shared" si="1"/>
        <v>0</v>
      </c>
      <c r="O20" s="166">
        <v>0</v>
      </c>
      <c r="P20" s="167">
        <f t="shared" si="2"/>
        <v>0</v>
      </c>
      <c r="Q20" s="180">
        <v>0</v>
      </c>
      <c r="R20" s="169">
        <f t="shared" si="3"/>
        <v>0</v>
      </c>
      <c r="S20" s="172">
        <f t="shared" si="6"/>
        <v>0</v>
      </c>
      <c r="U20" s="140"/>
      <c r="V20" s="137" t="s">
        <v>16</v>
      </c>
      <c r="W20" s="208">
        <f>SUM(W21:W39)</f>
        <v>6507800</v>
      </c>
    </row>
    <row r="21" spans="1:46" s="36" customFormat="1" x14ac:dyDescent="0.2">
      <c r="A21" s="837"/>
      <c r="B21" s="840"/>
      <c r="C21" s="68"/>
      <c r="D21" s="116"/>
      <c r="E21" s="117"/>
      <c r="F21" s="118" t="s">
        <v>118</v>
      </c>
      <c r="G21" s="106">
        <v>0</v>
      </c>
      <c r="H21" s="106">
        <v>0</v>
      </c>
      <c r="I21" s="123">
        <v>0</v>
      </c>
      <c r="J21" s="126">
        <f t="shared" si="5"/>
        <v>0</v>
      </c>
      <c r="K21" s="121">
        <f t="shared" si="0"/>
        <v>0</v>
      </c>
      <c r="L21" s="34"/>
      <c r="M21" s="166">
        <v>0</v>
      </c>
      <c r="N21" s="169">
        <f t="shared" si="1"/>
        <v>0</v>
      </c>
      <c r="O21" s="166">
        <v>0</v>
      </c>
      <c r="P21" s="167">
        <f t="shared" si="2"/>
        <v>0</v>
      </c>
      <c r="Q21" s="180">
        <v>0</v>
      </c>
      <c r="R21" s="169">
        <f t="shared" si="3"/>
        <v>0</v>
      </c>
      <c r="S21" s="172">
        <f t="shared" si="6"/>
        <v>0</v>
      </c>
      <c r="U21" s="141">
        <v>53201010100000</v>
      </c>
      <c r="V21" s="138" t="s">
        <v>17</v>
      </c>
      <c r="W21" s="144">
        <v>3007800</v>
      </c>
    </row>
    <row r="22" spans="1:46" s="36" customFormat="1" x14ac:dyDescent="0.2">
      <c r="A22" s="837"/>
      <c r="B22" s="840"/>
      <c r="C22" s="68"/>
      <c r="D22" s="116"/>
      <c r="E22" s="117"/>
      <c r="F22" s="118" t="s">
        <v>118</v>
      </c>
      <c r="G22" s="106">
        <v>0</v>
      </c>
      <c r="H22" s="106">
        <v>0</v>
      </c>
      <c r="I22" s="123">
        <v>0</v>
      </c>
      <c r="J22" s="126">
        <f t="shared" si="5"/>
        <v>0</v>
      </c>
      <c r="K22" s="121">
        <f t="shared" si="0"/>
        <v>0</v>
      </c>
      <c r="L22" s="34"/>
      <c r="M22" s="166">
        <v>0</v>
      </c>
      <c r="N22" s="169">
        <f t="shared" si="1"/>
        <v>0</v>
      </c>
      <c r="O22" s="166">
        <v>0</v>
      </c>
      <c r="P22" s="167">
        <f t="shared" si="2"/>
        <v>0</v>
      </c>
      <c r="Q22" s="180">
        <v>0</v>
      </c>
      <c r="R22" s="169">
        <f t="shared" si="3"/>
        <v>0</v>
      </c>
      <c r="S22" s="172">
        <f t="shared" si="6"/>
        <v>0</v>
      </c>
      <c r="U22" s="141">
        <v>53202010100000</v>
      </c>
      <c r="V22" s="138" t="s">
        <v>18</v>
      </c>
      <c r="W22" s="144">
        <v>0</v>
      </c>
    </row>
    <row r="23" spans="1:46" s="36" customFormat="1" x14ac:dyDescent="0.2">
      <c r="A23" s="837"/>
      <c r="B23" s="840"/>
      <c r="C23" s="68"/>
      <c r="D23" s="116"/>
      <c r="E23" s="117"/>
      <c r="F23" s="118" t="s">
        <v>118</v>
      </c>
      <c r="G23" s="106">
        <v>0</v>
      </c>
      <c r="H23" s="106">
        <v>0</v>
      </c>
      <c r="I23" s="123">
        <v>0</v>
      </c>
      <c r="J23" s="126">
        <f t="shared" si="5"/>
        <v>0</v>
      </c>
      <c r="K23" s="121">
        <f t="shared" si="0"/>
        <v>0</v>
      </c>
      <c r="L23" s="34"/>
      <c r="M23" s="166">
        <v>0</v>
      </c>
      <c r="N23" s="169">
        <f t="shared" si="1"/>
        <v>0</v>
      </c>
      <c r="O23" s="166">
        <v>0</v>
      </c>
      <c r="P23" s="167">
        <f t="shared" si="2"/>
        <v>0</v>
      </c>
      <c r="Q23" s="180">
        <v>0</v>
      </c>
      <c r="R23" s="169">
        <f t="shared" si="3"/>
        <v>0</v>
      </c>
      <c r="S23" s="172">
        <f t="shared" si="6"/>
        <v>0</v>
      </c>
      <c r="U23" s="141">
        <v>53203010100000</v>
      </c>
      <c r="V23" s="138" t="s">
        <v>19</v>
      </c>
      <c r="W23" s="144">
        <v>0</v>
      </c>
    </row>
    <row r="24" spans="1:46" s="36" customFormat="1" ht="13.5" thickBot="1" x14ac:dyDescent="0.25">
      <c r="A24" s="837"/>
      <c r="B24" s="841"/>
      <c r="C24" s="133"/>
      <c r="D24" s="107"/>
      <c r="E24" s="108"/>
      <c r="F24" s="109" t="s">
        <v>118</v>
      </c>
      <c r="G24" s="110">
        <v>0</v>
      </c>
      <c r="H24" s="110">
        <v>0</v>
      </c>
      <c r="I24" s="124">
        <v>0</v>
      </c>
      <c r="J24" s="127">
        <f t="shared" si="5"/>
        <v>0</v>
      </c>
      <c r="K24" s="119">
        <f t="shared" si="0"/>
        <v>0</v>
      </c>
      <c r="L24" s="34"/>
      <c r="M24" s="173">
        <v>0</v>
      </c>
      <c r="N24" s="170">
        <f t="shared" si="1"/>
        <v>0</v>
      </c>
      <c r="O24" s="173">
        <v>0</v>
      </c>
      <c r="P24" s="183">
        <f t="shared" si="2"/>
        <v>0</v>
      </c>
      <c r="Q24" s="181">
        <v>0</v>
      </c>
      <c r="R24" s="170">
        <f t="shared" si="3"/>
        <v>0</v>
      </c>
      <c r="S24" s="174">
        <f t="shared" si="6"/>
        <v>0</v>
      </c>
      <c r="U24" s="141">
        <v>53203030000000</v>
      </c>
      <c r="V24" s="138" t="s">
        <v>20</v>
      </c>
      <c r="W24" s="144">
        <v>0</v>
      </c>
    </row>
    <row r="25" spans="1:46" s="36" customFormat="1" ht="12.75" customHeight="1" x14ac:dyDescent="0.2">
      <c r="A25" s="837"/>
      <c r="B25" s="842" t="s">
        <v>92</v>
      </c>
      <c r="C25" s="132" t="s">
        <v>275</v>
      </c>
      <c r="D25" s="111" t="s">
        <v>276</v>
      </c>
      <c r="E25" s="112" t="s">
        <v>277</v>
      </c>
      <c r="F25" s="113" t="s">
        <v>118</v>
      </c>
      <c r="G25" s="105">
        <v>18721424</v>
      </c>
      <c r="H25" s="105">
        <v>188000</v>
      </c>
      <c r="I25" s="122">
        <v>125736</v>
      </c>
      <c r="J25" s="125">
        <f t="shared" si="5"/>
        <v>19035160</v>
      </c>
      <c r="K25" s="120">
        <f t="shared" si="0"/>
        <v>19606214.800000001</v>
      </c>
      <c r="L25" s="34"/>
      <c r="M25" s="148">
        <v>0.5</v>
      </c>
      <c r="N25" s="168">
        <f t="shared" si="1"/>
        <v>9803107.4000000004</v>
      </c>
      <c r="O25" s="148">
        <v>0.4</v>
      </c>
      <c r="P25" s="182">
        <f t="shared" si="2"/>
        <v>7842485.9200000009</v>
      </c>
      <c r="Q25" s="179">
        <v>0.1</v>
      </c>
      <c r="R25" s="168">
        <f t="shared" si="3"/>
        <v>1960621.4800000002</v>
      </c>
      <c r="S25" s="171">
        <f t="shared" si="6"/>
        <v>1</v>
      </c>
      <c r="U25" s="141">
        <v>53204030000000</v>
      </c>
      <c r="V25" s="138" t="s">
        <v>21</v>
      </c>
      <c r="W25" s="144">
        <v>0</v>
      </c>
      <c r="AG25" s="28"/>
    </row>
    <row r="26" spans="1:46" s="36" customFormat="1" ht="12.75" customHeight="1" x14ac:dyDescent="0.2">
      <c r="A26" s="837"/>
      <c r="B26" s="840"/>
      <c r="C26" s="68"/>
      <c r="D26" s="116"/>
      <c r="E26" s="117"/>
      <c r="F26" s="118" t="s">
        <v>118</v>
      </c>
      <c r="G26" s="106">
        <v>0</v>
      </c>
      <c r="H26" s="106">
        <v>0</v>
      </c>
      <c r="I26" s="123">
        <v>0</v>
      </c>
      <c r="J26" s="126">
        <f t="shared" si="5"/>
        <v>0</v>
      </c>
      <c r="K26" s="121">
        <f t="shared" si="0"/>
        <v>0</v>
      </c>
      <c r="L26" s="34"/>
      <c r="M26" s="166">
        <v>0</v>
      </c>
      <c r="N26" s="169">
        <f t="shared" si="1"/>
        <v>0</v>
      </c>
      <c r="O26" s="166">
        <v>0</v>
      </c>
      <c r="P26" s="167">
        <f t="shared" si="2"/>
        <v>0</v>
      </c>
      <c r="Q26" s="180">
        <v>0</v>
      </c>
      <c r="R26" s="169">
        <f t="shared" si="3"/>
        <v>0</v>
      </c>
      <c r="S26" s="172">
        <f t="shared" si="6"/>
        <v>0</v>
      </c>
      <c r="U26" s="141">
        <v>53204100100001</v>
      </c>
      <c r="V26" s="138" t="s">
        <v>22</v>
      </c>
      <c r="W26" s="144">
        <v>0</v>
      </c>
      <c r="AG26" s="28"/>
    </row>
    <row r="27" spans="1:46" s="36" customFormat="1" ht="12.75" customHeight="1" x14ac:dyDescent="0.2">
      <c r="A27" s="837"/>
      <c r="B27" s="840"/>
      <c r="C27" s="68"/>
      <c r="D27" s="116"/>
      <c r="E27" s="117"/>
      <c r="F27" s="118" t="s">
        <v>118</v>
      </c>
      <c r="G27" s="106">
        <v>0</v>
      </c>
      <c r="H27" s="106">
        <v>0</v>
      </c>
      <c r="I27" s="123">
        <v>0</v>
      </c>
      <c r="J27" s="126">
        <f t="shared" si="5"/>
        <v>0</v>
      </c>
      <c r="K27" s="121">
        <f t="shared" si="0"/>
        <v>0</v>
      </c>
      <c r="L27" s="34"/>
      <c r="M27" s="166">
        <v>0</v>
      </c>
      <c r="N27" s="169">
        <f t="shared" si="1"/>
        <v>0</v>
      </c>
      <c r="O27" s="166">
        <v>0</v>
      </c>
      <c r="P27" s="167">
        <f t="shared" si="2"/>
        <v>0</v>
      </c>
      <c r="Q27" s="180">
        <v>0</v>
      </c>
      <c r="R27" s="169">
        <f t="shared" si="3"/>
        <v>0</v>
      </c>
      <c r="S27" s="172">
        <f t="shared" si="6"/>
        <v>0</v>
      </c>
      <c r="U27" s="141">
        <v>53204130100000</v>
      </c>
      <c r="V27" s="138" t="s">
        <v>23</v>
      </c>
      <c r="W27" s="144">
        <v>0</v>
      </c>
      <c r="AG27" s="28"/>
    </row>
    <row r="28" spans="1:46" s="36" customFormat="1" ht="12.75" customHeight="1" x14ac:dyDescent="0.2">
      <c r="A28" s="837"/>
      <c r="B28" s="840"/>
      <c r="C28" s="68"/>
      <c r="D28" s="116"/>
      <c r="E28" s="117"/>
      <c r="F28" s="118" t="s">
        <v>118</v>
      </c>
      <c r="G28" s="106">
        <v>0</v>
      </c>
      <c r="H28" s="106">
        <v>0</v>
      </c>
      <c r="I28" s="123">
        <v>0</v>
      </c>
      <c r="J28" s="126">
        <f t="shared" si="5"/>
        <v>0</v>
      </c>
      <c r="K28" s="121">
        <f t="shared" si="0"/>
        <v>0</v>
      </c>
      <c r="L28" s="34"/>
      <c r="M28" s="166">
        <v>0</v>
      </c>
      <c r="N28" s="169">
        <f t="shared" si="1"/>
        <v>0</v>
      </c>
      <c r="O28" s="166">
        <v>0</v>
      </c>
      <c r="P28" s="167">
        <f t="shared" si="2"/>
        <v>0</v>
      </c>
      <c r="Q28" s="180">
        <v>0</v>
      </c>
      <c r="R28" s="169">
        <f t="shared" si="3"/>
        <v>0</v>
      </c>
      <c r="S28" s="172">
        <f t="shared" si="6"/>
        <v>0</v>
      </c>
      <c r="U28" s="141">
        <v>53205010100000</v>
      </c>
      <c r="V28" s="138" t="s">
        <v>24</v>
      </c>
      <c r="W28" s="144">
        <v>0</v>
      </c>
      <c r="AG28" s="28"/>
    </row>
    <row r="29" spans="1:46" s="36" customFormat="1" ht="12.75" customHeight="1" x14ac:dyDescent="0.2">
      <c r="A29" s="837"/>
      <c r="B29" s="840"/>
      <c r="C29" s="68"/>
      <c r="D29" s="116"/>
      <c r="E29" s="117"/>
      <c r="F29" s="118" t="s">
        <v>118</v>
      </c>
      <c r="G29" s="106">
        <v>0</v>
      </c>
      <c r="H29" s="106">
        <v>0</v>
      </c>
      <c r="I29" s="123">
        <v>0</v>
      </c>
      <c r="J29" s="126">
        <f t="shared" si="5"/>
        <v>0</v>
      </c>
      <c r="K29" s="121">
        <f t="shared" si="0"/>
        <v>0</v>
      </c>
      <c r="L29" s="34"/>
      <c r="M29" s="166">
        <v>0</v>
      </c>
      <c r="N29" s="169">
        <f t="shared" si="1"/>
        <v>0</v>
      </c>
      <c r="O29" s="166">
        <v>0</v>
      </c>
      <c r="P29" s="167">
        <f t="shared" si="2"/>
        <v>0</v>
      </c>
      <c r="Q29" s="180">
        <v>0</v>
      </c>
      <c r="R29" s="169">
        <f t="shared" si="3"/>
        <v>0</v>
      </c>
      <c r="S29" s="172">
        <f t="shared" si="6"/>
        <v>0</v>
      </c>
      <c r="U29" s="141">
        <v>53205020100000</v>
      </c>
      <c r="V29" s="138" t="s">
        <v>25</v>
      </c>
      <c r="W29" s="144">
        <v>0</v>
      </c>
      <c r="AG29" s="28"/>
    </row>
    <row r="30" spans="1:46" s="36" customFormat="1" ht="12.75" customHeight="1" x14ac:dyDescent="0.2">
      <c r="A30" s="837"/>
      <c r="B30" s="840"/>
      <c r="C30" s="68"/>
      <c r="D30" s="116"/>
      <c r="E30" s="117"/>
      <c r="F30" s="118" t="s">
        <v>118</v>
      </c>
      <c r="G30" s="106">
        <v>0</v>
      </c>
      <c r="H30" s="106">
        <v>0</v>
      </c>
      <c r="I30" s="123">
        <v>0</v>
      </c>
      <c r="J30" s="126">
        <f t="shared" si="5"/>
        <v>0</v>
      </c>
      <c r="K30" s="121">
        <f t="shared" si="0"/>
        <v>0</v>
      </c>
      <c r="L30" s="34"/>
      <c r="M30" s="166">
        <v>0</v>
      </c>
      <c r="N30" s="169">
        <f t="shared" si="1"/>
        <v>0</v>
      </c>
      <c r="O30" s="166">
        <v>0</v>
      </c>
      <c r="P30" s="167">
        <f t="shared" si="2"/>
        <v>0</v>
      </c>
      <c r="Q30" s="180">
        <v>0</v>
      </c>
      <c r="R30" s="169">
        <f t="shared" si="3"/>
        <v>0</v>
      </c>
      <c r="S30" s="172">
        <f t="shared" si="6"/>
        <v>0</v>
      </c>
      <c r="U30" s="141">
        <v>53205030100000</v>
      </c>
      <c r="V30" s="138" t="s">
        <v>26</v>
      </c>
      <c r="W30" s="144">
        <v>0</v>
      </c>
      <c r="AG30" s="28"/>
    </row>
    <row r="31" spans="1:46" s="36" customFormat="1" ht="12.75" customHeight="1" x14ac:dyDescent="0.2">
      <c r="A31" s="837"/>
      <c r="B31" s="840"/>
      <c r="C31" s="68"/>
      <c r="D31" s="116"/>
      <c r="E31" s="117"/>
      <c r="F31" s="118" t="s">
        <v>118</v>
      </c>
      <c r="G31" s="106">
        <v>0</v>
      </c>
      <c r="H31" s="106">
        <v>0</v>
      </c>
      <c r="I31" s="123">
        <v>0</v>
      </c>
      <c r="J31" s="126">
        <f t="shared" si="5"/>
        <v>0</v>
      </c>
      <c r="K31" s="121">
        <f t="shared" si="0"/>
        <v>0</v>
      </c>
      <c r="L31" s="34"/>
      <c r="M31" s="166">
        <v>0</v>
      </c>
      <c r="N31" s="169">
        <f t="shared" si="1"/>
        <v>0</v>
      </c>
      <c r="O31" s="166">
        <v>0</v>
      </c>
      <c r="P31" s="167">
        <f t="shared" si="2"/>
        <v>0</v>
      </c>
      <c r="Q31" s="180">
        <v>0</v>
      </c>
      <c r="R31" s="169">
        <f t="shared" si="3"/>
        <v>0</v>
      </c>
      <c r="S31" s="172">
        <f t="shared" si="6"/>
        <v>0</v>
      </c>
      <c r="U31" s="141">
        <v>53205050100000</v>
      </c>
      <c r="V31" s="138" t="s">
        <v>27</v>
      </c>
      <c r="W31" s="144">
        <v>0</v>
      </c>
      <c r="AG31" s="28"/>
    </row>
    <row r="32" spans="1:46" s="36" customFormat="1" ht="12.75" customHeight="1" x14ac:dyDescent="0.2">
      <c r="A32" s="837"/>
      <c r="B32" s="840"/>
      <c r="C32" s="68"/>
      <c r="D32" s="116"/>
      <c r="E32" s="117"/>
      <c r="F32" s="118" t="s">
        <v>118</v>
      </c>
      <c r="G32" s="106">
        <v>0</v>
      </c>
      <c r="H32" s="106">
        <v>0</v>
      </c>
      <c r="I32" s="123">
        <v>0</v>
      </c>
      <c r="J32" s="126">
        <f t="shared" si="5"/>
        <v>0</v>
      </c>
      <c r="K32" s="121">
        <f t="shared" si="0"/>
        <v>0</v>
      </c>
      <c r="L32" s="34"/>
      <c r="M32" s="166">
        <v>0</v>
      </c>
      <c r="N32" s="169">
        <f t="shared" si="1"/>
        <v>0</v>
      </c>
      <c r="O32" s="166">
        <v>0</v>
      </c>
      <c r="P32" s="167">
        <f t="shared" si="2"/>
        <v>0</v>
      </c>
      <c r="Q32" s="180">
        <v>0</v>
      </c>
      <c r="R32" s="169">
        <f t="shared" si="3"/>
        <v>0</v>
      </c>
      <c r="S32" s="172">
        <f t="shared" si="6"/>
        <v>0</v>
      </c>
      <c r="U32" s="141">
        <v>53205060100000</v>
      </c>
      <c r="V32" s="138" t="s">
        <v>28</v>
      </c>
      <c r="W32" s="144">
        <v>0</v>
      </c>
      <c r="AG32" s="28"/>
    </row>
    <row r="33" spans="1:33" s="36" customFormat="1" ht="12.75" customHeight="1" x14ac:dyDescent="0.2">
      <c r="A33" s="837"/>
      <c r="B33" s="840"/>
      <c r="C33" s="68"/>
      <c r="D33" s="116"/>
      <c r="E33" s="117"/>
      <c r="F33" s="118" t="s">
        <v>118</v>
      </c>
      <c r="G33" s="106">
        <v>0</v>
      </c>
      <c r="H33" s="106">
        <v>0</v>
      </c>
      <c r="I33" s="123">
        <v>0</v>
      </c>
      <c r="J33" s="126">
        <f t="shared" si="5"/>
        <v>0</v>
      </c>
      <c r="K33" s="121">
        <f t="shared" si="0"/>
        <v>0</v>
      </c>
      <c r="L33" s="34"/>
      <c r="M33" s="166">
        <v>0</v>
      </c>
      <c r="N33" s="169">
        <f t="shared" si="1"/>
        <v>0</v>
      </c>
      <c r="O33" s="166">
        <v>0</v>
      </c>
      <c r="P33" s="167">
        <f t="shared" si="2"/>
        <v>0</v>
      </c>
      <c r="Q33" s="180">
        <v>0</v>
      </c>
      <c r="R33" s="169">
        <f t="shared" si="3"/>
        <v>0</v>
      </c>
      <c r="S33" s="172">
        <f t="shared" si="6"/>
        <v>0</v>
      </c>
      <c r="U33" s="141">
        <v>53205070100000</v>
      </c>
      <c r="V33" s="138" t="s">
        <v>29</v>
      </c>
      <c r="W33" s="144">
        <v>0</v>
      </c>
      <c r="AG33" s="28"/>
    </row>
    <row r="34" spans="1:33" s="36" customFormat="1" ht="12.75" customHeight="1" thickBot="1" x14ac:dyDescent="0.25">
      <c r="A34" s="837"/>
      <c r="B34" s="841"/>
      <c r="C34" s="133"/>
      <c r="D34" s="107"/>
      <c r="E34" s="108"/>
      <c r="F34" s="109" t="s">
        <v>118</v>
      </c>
      <c r="G34" s="110">
        <v>0</v>
      </c>
      <c r="H34" s="110">
        <v>0</v>
      </c>
      <c r="I34" s="124">
        <v>0</v>
      </c>
      <c r="J34" s="127">
        <f t="shared" si="5"/>
        <v>0</v>
      </c>
      <c r="K34" s="119">
        <f t="shared" si="0"/>
        <v>0</v>
      </c>
      <c r="L34" s="34"/>
      <c r="M34" s="173">
        <v>0</v>
      </c>
      <c r="N34" s="170">
        <f t="shared" si="1"/>
        <v>0</v>
      </c>
      <c r="O34" s="173">
        <v>0</v>
      </c>
      <c r="P34" s="183">
        <f t="shared" si="2"/>
        <v>0</v>
      </c>
      <c r="Q34" s="181">
        <v>0</v>
      </c>
      <c r="R34" s="170">
        <f t="shared" si="3"/>
        <v>0</v>
      </c>
      <c r="S34" s="174">
        <f t="shared" si="6"/>
        <v>0</v>
      </c>
      <c r="U34" s="141">
        <v>53208010100000</v>
      </c>
      <c r="V34" s="138" t="s">
        <v>30</v>
      </c>
      <c r="W34" s="144">
        <v>0</v>
      </c>
      <c r="AG34" s="28"/>
    </row>
    <row r="35" spans="1:33" s="36" customFormat="1" ht="12.75" customHeight="1" x14ac:dyDescent="0.2">
      <c r="A35" s="837"/>
      <c r="B35" s="842" t="s">
        <v>91</v>
      </c>
      <c r="C35" s="132" t="s">
        <v>278</v>
      </c>
      <c r="D35" s="111" t="s">
        <v>279</v>
      </c>
      <c r="E35" s="112" t="s">
        <v>280</v>
      </c>
      <c r="F35" s="113" t="s">
        <v>118</v>
      </c>
      <c r="G35" s="105">
        <v>13126016</v>
      </c>
      <c r="H35" s="105">
        <v>188000</v>
      </c>
      <c r="I35" s="122">
        <v>125736</v>
      </c>
      <c r="J35" s="125">
        <f t="shared" si="5"/>
        <v>13439752</v>
      </c>
      <c r="K35" s="120">
        <f t="shared" si="0"/>
        <v>13842944.560000001</v>
      </c>
      <c r="L35" s="34"/>
      <c r="M35" s="148">
        <v>0.4</v>
      </c>
      <c r="N35" s="168">
        <f t="shared" si="1"/>
        <v>5537177.824000001</v>
      </c>
      <c r="O35" s="148">
        <v>0.3</v>
      </c>
      <c r="P35" s="182">
        <f t="shared" si="2"/>
        <v>4152883.3679999998</v>
      </c>
      <c r="Q35" s="179">
        <v>0.3</v>
      </c>
      <c r="R35" s="168">
        <f t="shared" si="3"/>
        <v>4152883.3679999998</v>
      </c>
      <c r="S35" s="171">
        <f t="shared" si="6"/>
        <v>1</v>
      </c>
      <c r="U35" s="141">
        <v>53208070100001</v>
      </c>
      <c r="V35" s="138" t="s">
        <v>31</v>
      </c>
      <c r="W35" s="144">
        <v>0</v>
      </c>
      <c r="AG35" s="28"/>
    </row>
    <row r="36" spans="1:33" s="36" customFormat="1" ht="12.75" customHeight="1" x14ac:dyDescent="0.2">
      <c r="A36" s="837"/>
      <c r="B36" s="840"/>
      <c r="C36" s="68"/>
      <c r="D36" s="116"/>
      <c r="E36" s="117"/>
      <c r="F36" s="118" t="s">
        <v>118</v>
      </c>
      <c r="G36" s="106">
        <v>0</v>
      </c>
      <c r="H36" s="106">
        <v>0</v>
      </c>
      <c r="I36" s="123">
        <v>0</v>
      </c>
      <c r="J36" s="126">
        <f t="shared" si="5"/>
        <v>0</v>
      </c>
      <c r="K36" s="121">
        <f t="shared" si="0"/>
        <v>0</v>
      </c>
      <c r="L36" s="34"/>
      <c r="M36" s="166">
        <v>0</v>
      </c>
      <c r="N36" s="169">
        <f t="shared" si="1"/>
        <v>0</v>
      </c>
      <c r="O36" s="166">
        <v>0</v>
      </c>
      <c r="P36" s="167">
        <f t="shared" si="2"/>
        <v>0</v>
      </c>
      <c r="Q36" s="180">
        <v>0</v>
      </c>
      <c r="R36" s="169">
        <f t="shared" si="3"/>
        <v>0</v>
      </c>
      <c r="S36" s="172">
        <f t="shared" si="6"/>
        <v>0</v>
      </c>
      <c r="U36" s="141">
        <v>53208100100001</v>
      </c>
      <c r="V36" s="138" t="s">
        <v>132</v>
      </c>
      <c r="W36" s="144">
        <v>0</v>
      </c>
      <c r="AG36" s="28"/>
    </row>
    <row r="37" spans="1:33" s="36" customFormat="1" ht="12.75" customHeight="1" x14ac:dyDescent="0.2">
      <c r="A37" s="837"/>
      <c r="B37" s="840"/>
      <c r="C37" s="68"/>
      <c r="D37" s="116"/>
      <c r="E37" s="117"/>
      <c r="F37" s="118" t="s">
        <v>118</v>
      </c>
      <c r="G37" s="106">
        <v>0</v>
      </c>
      <c r="H37" s="106">
        <v>0</v>
      </c>
      <c r="I37" s="123">
        <v>0</v>
      </c>
      <c r="J37" s="126">
        <f t="shared" si="5"/>
        <v>0</v>
      </c>
      <c r="K37" s="121">
        <f t="shared" si="0"/>
        <v>0</v>
      </c>
      <c r="L37" s="34"/>
      <c r="M37" s="166">
        <v>0</v>
      </c>
      <c r="N37" s="169">
        <f t="shared" si="1"/>
        <v>0</v>
      </c>
      <c r="O37" s="166">
        <v>0</v>
      </c>
      <c r="P37" s="167">
        <f t="shared" si="2"/>
        <v>0</v>
      </c>
      <c r="Q37" s="180">
        <v>0</v>
      </c>
      <c r="R37" s="169">
        <f t="shared" si="3"/>
        <v>0</v>
      </c>
      <c r="S37" s="172">
        <f t="shared" si="6"/>
        <v>0</v>
      </c>
      <c r="U37" s="141">
        <v>53211030000000</v>
      </c>
      <c r="V37" s="138" t="s">
        <v>32</v>
      </c>
      <c r="W37" s="144">
        <v>0</v>
      </c>
      <c r="AG37" s="28"/>
    </row>
    <row r="38" spans="1:33" s="36" customFormat="1" ht="12.75" customHeight="1" x14ac:dyDescent="0.2">
      <c r="A38" s="837"/>
      <c r="B38" s="840"/>
      <c r="C38" s="68"/>
      <c r="D38" s="116"/>
      <c r="E38" s="117"/>
      <c r="F38" s="118" t="s">
        <v>118</v>
      </c>
      <c r="G38" s="106">
        <v>0</v>
      </c>
      <c r="H38" s="106">
        <v>0</v>
      </c>
      <c r="I38" s="123">
        <v>0</v>
      </c>
      <c r="J38" s="126">
        <f t="shared" si="5"/>
        <v>0</v>
      </c>
      <c r="K38" s="121">
        <f t="shared" si="0"/>
        <v>0</v>
      </c>
      <c r="L38" s="34"/>
      <c r="M38" s="166">
        <v>0</v>
      </c>
      <c r="N38" s="169">
        <f t="shared" si="1"/>
        <v>0</v>
      </c>
      <c r="O38" s="166">
        <v>0</v>
      </c>
      <c r="P38" s="167">
        <f t="shared" si="2"/>
        <v>0</v>
      </c>
      <c r="Q38" s="180">
        <v>0</v>
      </c>
      <c r="R38" s="169">
        <f t="shared" si="3"/>
        <v>0</v>
      </c>
      <c r="S38" s="172">
        <f t="shared" si="6"/>
        <v>0</v>
      </c>
      <c r="U38" s="141">
        <v>53212020100000</v>
      </c>
      <c r="V38" s="138" t="s">
        <v>98</v>
      </c>
      <c r="W38" s="144">
        <v>3500000</v>
      </c>
      <c r="AG38" s="28"/>
    </row>
    <row r="39" spans="1:33" s="36" customFormat="1" ht="12.75" customHeight="1" thickBot="1" x14ac:dyDescent="0.25">
      <c r="A39" s="837"/>
      <c r="B39" s="841"/>
      <c r="C39" s="133"/>
      <c r="D39" s="107"/>
      <c r="E39" s="108"/>
      <c r="F39" s="109" t="s">
        <v>118</v>
      </c>
      <c r="G39" s="110">
        <v>0</v>
      </c>
      <c r="H39" s="110">
        <v>0</v>
      </c>
      <c r="I39" s="124">
        <v>0</v>
      </c>
      <c r="J39" s="127">
        <f t="shared" si="5"/>
        <v>0</v>
      </c>
      <c r="K39" s="119">
        <f t="shared" si="0"/>
        <v>0</v>
      </c>
      <c r="L39" s="34"/>
      <c r="M39" s="173">
        <v>0</v>
      </c>
      <c r="N39" s="170">
        <f t="shared" si="1"/>
        <v>0</v>
      </c>
      <c r="O39" s="173">
        <v>0</v>
      </c>
      <c r="P39" s="183">
        <f t="shared" si="2"/>
        <v>0</v>
      </c>
      <c r="Q39" s="181">
        <v>0</v>
      </c>
      <c r="R39" s="170">
        <f t="shared" si="3"/>
        <v>0</v>
      </c>
      <c r="S39" s="174">
        <f t="shared" si="6"/>
        <v>0</v>
      </c>
      <c r="U39" s="141">
        <v>53214020000000</v>
      </c>
      <c r="V39" s="138" t="s">
        <v>33</v>
      </c>
      <c r="W39" s="144">
        <v>0</v>
      </c>
      <c r="AG39" s="28"/>
    </row>
    <row r="40" spans="1:33" s="36" customFormat="1" ht="12.75" customHeight="1" x14ac:dyDescent="0.2">
      <c r="A40" s="837"/>
      <c r="B40" s="843" t="s">
        <v>119</v>
      </c>
      <c r="C40" s="134" t="s">
        <v>281</v>
      </c>
      <c r="D40" s="102" t="s">
        <v>282</v>
      </c>
      <c r="E40" s="103" t="s">
        <v>283</v>
      </c>
      <c r="F40" s="104" t="s">
        <v>118</v>
      </c>
      <c r="G40" s="105">
        <v>0</v>
      </c>
      <c r="H40" s="105">
        <v>0</v>
      </c>
      <c r="I40" s="122">
        <v>0</v>
      </c>
      <c r="J40" s="128">
        <f t="shared" ref="J40:J61" si="7">SUM(G40:I40)</f>
        <v>0</v>
      </c>
      <c r="K40" s="130">
        <f t="shared" si="0"/>
        <v>0</v>
      </c>
      <c r="L40" s="34"/>
      <c r="M40" s="148">
        <v>0</v>
      </c>
      <c r="N40" s="168">
        <f t="shared" si="1"/>
        <v>0</v>
      </c>
      <c r="O40" s="148">
        <v>0</v>
      </c>
      <c r="P40" s="182">
        <f t="shared" si="2"/>
        <v>0</v>
      </c>
      <c r="Q40" s="179">
        <v>0</v>
      </c>
      <c r="R40" s="168">
        <f t="shared" si="3"/>
        <v>0</v>
      </c>
      <c r="S40" s="171">
        <f t="shared" si="6"/>
        <v>0</v>
      </c>
      <c r="U40" s="139"/>
      <c r="V40" s="136" t="s">
        <v>34</v>
      </c>
      <c r="W40" s="142">
        <f>SUM(W41,W46,W49,W60,W70,W78)</f>
        <v>1500000</v>
      </c>
      <c r="AG40" s="28"/>
    </row>
    <row r="41" spans="1:33" s="36" customFormat="1" ht="12.75" customHeight="1" x14ac:dyDescent="0.2">
      <c r="A41" s="837"/>
      <c r="B41" s="844"/>
      <c r="C41" s="69" t="s">
        <v>284</v>
      </c>
      <c r="D41" s="71" t="s">
        <v>285</v>
      </c>
      <c r="E41" s="72" t="s">
        <v>287</v>
      </c>
      <c r="F41" s="86" t="s">
        <v>118</v>
      </c>
      <c r="G41" s="106">
        <v>0</v>
      </c>
      <c r="H41" s="106">
        <v>0</v>
      </c>
      <c r="I41" s="123">
        <v>0</v>
      </c>
      <c r="J41" s="129">
        <f t="shared" ref="J41:J48" si="8">SUM(G41:I41)</f>
        <v>0</v>
      </c>
      <c r="K41" s="131">
        <f t="shared" si="0"/>
        <v>0</v>
      </c>
      <c r="L41" s="34"/>
      <c r="M41" s="166">
        <v>0</v>
      </c>
      <c r="N41" s="169">
        <f t="shared" si="1"/>
        <v>0</v>
      </c>
      <c r="O41" s="166">
        <v>0</v>
      </c>
      <c r="P41" s="167">
        <f t="shared" si="2"/>
        <v>0</v>
      </c>
      <c r="Q41" s="180">
        <v>0</v>
      </c>
      <c r="R41" s="169">
        <f t="shared" si="3"/>
        <v>0</v>
      </c>
      <c r="S41" s="172">
        <f t="shared" si="6"/>
        <v>0</v>
      </c>
      <c r="U41" s="140"/>
      <c r="V41" s="137" t="s">
        <v>35</v>
      </c>
      <c r="W41" s="143">
        <f>SUM(W42:W45)</f>
        <v>1500000</v>
      </c>
      <c r="AG41" s="28"/>
    </row>
    <row r="42" spans="1:33" s="36" customFormat="1" ht="12.75" customHeight="1" x14ac:dyDescent="0.2">
      <c r="A42" s="837"/>
      <c r="B42" s="844"/>
      <c r="C42" s="69" t="s">
        <v>289</v>
      </c>
      <c r="D42" s="71" t="s">
        <v>286</v>
      </c>
      <c r="E42" s="72" t="s">
        <v>287</v>
      </c>
      <c r="F42" s="86" t="s">
        <v>118</v>
      </c>
      <c r="G42" s="106">
        <v>0</v>
      </c>
      <c r="H42" s="106">
        <v>0</v>
      </c>
      <c r="I42" s="123">
        <v>0</v>
      </c>
      <c r="J42" s="129">
        <f t="shared" si="8"/>
        <v>0</v>
      </c>
      <c r="K42" s="131">
        <f t="shared" si="0"/>
        <v>0</v>
      </c>
      <c r="L42" s="34"/>
      <c r="M42" s="166">
        <v>0</v>
      </c>
      <c r="N42" s="169">
        <f t="shared" si="1"/>
        <v>0</v>
      </c>
      <c r="O42" s="166">
        <v>0</v>
      </c>
      <c r="P42" s="167">
        <f t="shared" si="2"/>
        <v>0</v>
      </c>
      <c r="Q42" s="180">
        <v>0</v>
      </c>
      <c r="R42" s="169">
        <f t="shared" si="3"/>
        <v>0</v>
      </c>
      <c r="S42" s="172">
        <f t="shared" si="6"/>
        <v>0</v>
      </c>
      <c r="U42" s="141">
        <v>53202020100000</v>
      </c>
      <c r="V42" s="138" t="s">
        <v>39</v>
      </c>
      <c r="W42" s="144">
        <v>0</v>
      </c>
      <c r="AG42" s="28"/>
    </row>
    <row r="43" spans="1:33" s="36" customFormat="1" ht="12.75" customHeight="1" x14ac:dyDescent="0.2">
      <c r="A43" s="837"/>
      <c r="B43" s="844"/>
      <c r="C43" s="69" t="s">
        <v>288</v>
      </c>
      <c r="D43" s="71"/>
      <c r="E43" s="72" t="s">
        <v>287</v>
      </c>
      <c r="F43" s="86" t="s">
        <v>118</v>
      </c>
      <c r="G43" s="106">
        <v>0</v>
      </c>
      <c r="H43" s="106">
        <v>0</v>
      </c>
      <c r="I43" s="123">
        <v>0</v>
      </c>
      <c r="J43" s="129">
        <f t="shared" si="8"/>
        <v>0</v>
      </c>
      <c r="K43" s="131">
        <f t="shared" si="0"/>
        <v>0</v>
      </c>
      <c r="L43" s="34"/>
      <c r="M43" s="166">
        <v>0</v>
      </c>
      <c r="N43" s="169">
        <f t="shared" si="1"/>
        <v>0</v>
      </c>
      <c r="O43" s="166">
        <v>0</v>
      </c>
      <c r="P43" s="167">
        <f t="shared" si="2"/>
        <v>0</v>
      </c>
      <c r="Q43" s="180">
        <v>0</v>
      </c>
      <c r="R43" s="169">
        <f t="shared" si="3"/>
        <v>0</v>
      </c>
      <c r="S43" s="172">
        <f t="shared" si="6"/>
        <v>0</v>
      </c>
      <c r="U43" s="141">
        <v>53202030000000</v>
      </c>
      <c r="V43" s="138" t="s">
        <v>40</v>
      </c>
      <c r="W43" s="144">
        <v>0</v>
      </c>
      <c r="AG43" s="28"/>
    </row>
    <row r="44" spans="1:33" s="36" customFormat="1" ht="12.75" customHeight="1" x14ac:dyDescent="0.2">
      <c r="A44" s="837"/>
      <c r="B44" s="844"/>
      <c r="C44" s="69"/>
      <c r="D44" s="71"/>
      <c r="E44" s="72"/>
      <c r="F44" s="86" t="s">
        <v>118</v>
      </c>
      <c r="G44" s="106">
        <v>0</v>
      </c>
      <c r="H44" s="106">
        <v>0</v>
      </c>
      <c r="I44" s="123">
        <v>0</v>
      </c>
      <c r="J44" s="129">
        <f t="shared" si="8"/>
        <v>0</v>
      </c>
      <c r="K44" s="131">
        <f t="shared" si="0"/>
        <v>0</v>
      </c>
      <c r="L44" s="34"/>
      <c r="M44" s="166">
        <v>0</v>
      </c>
      <c r="N44" s="169">
        <f t="shared" si="1"/>
        <v>0</v>
      </c>
      <c r="O44" s="166">
        <v>0</v>
      </c>
      <c r="P44" s="167">
        <f t="shared" si="2"/>
        <v>0</v>
      </c>
      <c r="Q44" s="180">
        <v>0</v>
      </c>
      <c r="R44" s="169">
        <f t="shared" si="3"/>
        <v>0</v>
      </c>
      <c r="S44" s="172">
        <f t="shared" si="6"/>
        <v>0</v>
      </c>
      <c r="U44" s="141">
        <v>53211020000000</v>
      </c>
      <c r="V44" s="138" t="s">
        <v>41</v>
      </c>
      <c r="W44" s="144">
        <v>0</v>
      </c>
      <c r="AG44" s="28"/>
    </row>
    <row r="45" spans="1:33" s="36" customFormat="1" ht="12.75" customHeight="1" x14ac:dyDescent="0.2">
      <c r="A45" s="837"/>
      <c r="B45" s="844"/>
      <c r="C45" s="69"/>
      <c r="D45" s="71"/>
      <c r="E45" s="72"/>
      <c r="F45" s="86" t="s">
        <v>118</v>
      </c>
      <c r="G45" s="106">
        <v>0</v>
      </c>
      <c r="H45" s="106">
        <v>0</v>
      </c>
      <c r="I45" s="123">
        <v>0</v>
      </c>
      <c r="J45" s="129">
        <f t="shared" si="8"/>
        <v>0</v>
      </c>
      <c r="K45" s="131">
        <f t="shared" si="0"/>
        <v>0</v>
      </c>
      <c r="L45" s="34"/>
      <c r="M45" s="166">
        <v>0</v>
      </c>
      <c r="N45" s="169">
        <f t="shared" si="1"/>
        <v>0</v>
      </c>
      <c r="O45" s="166">
        <v>0</v>
      </c>
      <c r="P45" s="167">
        <f t="shared" si="2"/>
        <v>0</v>
      </c>
      <c r="Q45" s="180">
        <v>0</v>
      </c>
      <c r="R45" s="169">
        <f t="shared" si="3"/>
        <v>0</v>
      </c>
      <c r="S45" s="172">
        <f t="shared" si="6"/>
        <v>0</v>
      </c>
      <c r="U45" s="141">
        <v>53101004030000</v>
      </c>
      <c r="V45" s="138" t="s">
        <v>38</v>
      </c>
      <c r="W45" s="144">
        <v>1500000</v>
      </c>
      <c r="AG45" s="28"/>
    </row>
    <row r="46" spans="1:33" s="36" customFormat="1" ht="12.75" customHeight="1" x14ac:dyDescent="0.2">
      <c r="A46" s="837"/>
      <c r="B46" s="844"/>
      <c r="C46" s="69"/>
      <c r="D46" s="71"/>
      <c r="E46" s="72"/>
      <c r="F46" s="86" t="s">
        <v>118</v>
      </c>
      <c r="G46" s="106">
        <v>0</v>
      </c>
      <c r="H46" s="106">
        <v>0</v>
      </c>
      <c r="I46" s="123">
        <v>0</v>
      </c>
      <c r="J46" s="129">
        <f t="shared" si="8"/>
        <v>0</v>
      </c>
      <c r="K46" s="131">
        <f t="shared" si="0"/>
        <v>0</v>
      </c>
      <c r="L46" s="34"/>
      <c r="M46" s="166">
        <v>0</v>
      </c>
      <c r="N46" s="169">
        <f t="shared" si="1"/>
        <v>0</v>
      </c>
      <c r="O46" s="166">
        <v>0</v>
      </c>
      <c r="P46" s="167">
        <f t="shared" si="2"/>
        <v>0</v>
      </c>
      <c r="Q46" s="180">
        <v>0</v>
      </c>
      <c r="R46" s="169">
        <f t="shared" si="3"/>
        <v>0</v>
      </c>
      <c r="S46" s="172">
        <f t="shared" si="6"/>
        <v>0</v>
      </c>
      <c r="U46" s="140"/>
      <c r="V46" s="137" t="s">
        <v>42</v>
      </c>
      <c r="W46" s="143">
        <f>SUM(W47:W48)</f>
        <v>0</v>
      </c>
      <c r="AG46" s="28"/>
    </row>
    <row r="47" spans="1:33" s="36" customFormat="1" ht="12.75" customHeight="1" x14ac:dyDescent="0.2">
      <c r="A47" s="837"/>
      <c r="B47" s="844"/>
      <c r="C47" s="69"/>
      <c r="D47" s="71"/>
      <c r="E47" s="72"/>
      <c r="F47" s="86" t="s">
        <v>118</v>
      </c>
      <c r="G47" s="106">
        <v>0</v>
      </c>
      <c r="H47" s="106">
        <v>0</v>
      </c>
      <c r="I47" s="123">
        <v>0</v>
      </c>
      <c r="J47" s="129">
        <f t="shared" si="8"/>
        <v>0</v>
      </c>
      <c r="K47" s="131">
        <f t="shared" si="0"/>
        <v>0</v>
      </c>
      <c r="L47" s="34"/>
      <c r="M47" s="166">
        <v>0</v>
      </c>
      <c r="N47" s="169">
        <f t="shared" si="1"/>
        <v>0</v>
      </c>
      <c r="O47" s="166">
        <v>0</v>
      </c>
      <c r="P47" s="167">
        <f t="shared" si="2"/>
        <v>0</v>
      </c>
      <c r="Q47" s="180">
        <v>0</v>
      </c>
      <c r="R47" s="169">
        <f t="shared" si="3"/>
        <v>0</v>
      </c>
      <c r="S47" s="172">
        <f t="shared" si="6"/>
        <v>0</v>
      </c>
      <c r="U47" s="141">
        <v>53205080000000</v>
      </c>
      <c r="V47" s="138" t="s">
        <v>43</v>
      </c>
      <c r="W47" s="144">
        <v>0</v>
      </c>
      <c r="AG47" s="28"/>
    </row>
    <row r="48" spans="1:33" s="36" customFormat="1" ht="12.75" customHeight="1" x14ac:dyDescent="0.2">
      <c r="A48" s="837"/>
      <c r="B48" s="844"/>
      <c r="C48" s="69"/>
      <c r="D48" s="71"/>
      <c r="E48" s="72"/>
      <c r="F48" s="86" t="s">
        <v>118</v>
      </c>
      <c r="G48" s="106">
        <v>0</v>
      </c>
      <c r="H48" s="106">
        <v>0</v>
      </c>
      <c r="I48" s="123">
        <v>0</v>
      </c>
      <c r="J48" s="129">
        <f t="shared" si="8"/>
        <v>0</v>
      </c>
      <c r="K48" s="131">
        <f t="shared" si="0"/>
        <v>0</v>
      </c>
      <c r="L48" s="34"/>
      <c r="M48" s="166">
        <v>0</v>
      </c>
      <c r="N48" s="169">
        <f t="shared" si="1"/>
        <v>0</v>
      </c>
      <c r="O48" s="166">
        <v>0</v>
      </c>
      <c r="P48" s="167">
        <f t="shared" si="2"/>
        <v>0</v>
      </c>
      <c r="Q48" s="180">
        <v>0</v>
      </c>
      <c r="R48" s="169">
        <f t="shared" si="3"/>
        <v>0</v>
      </c>
      <c r="S48" s="172">
        <f t="shared" si="6"/>
        <v>0</v>
      </c>
      <c r="U48" s="141">
        <v>53205990000000</v>
      </c>
      <c r="V48" s="138" t="s">
        <v>44</v>
      </c>
      <c r="W48" s="144">
        <v>0</v>
      </c>
      <c r="AG48" s="28"/>
    </row>
    <row r="49" spans="1:33" s="36" customFormat="1" ht="12.75" customHeight="1" x14ac:dyDescent="0.2">
      <c r="A49" s="837"/>
      <c r="B49" s="845"/>
      <c r="C49" s="69"/>
      <c r="D49" s="71"/>
      <c r="E49" s="72"/>
      <c r="F49" s="86" t="s">
        <v>118</v>
      </c>
      <c r="G49" s="106">
        <v>0</v>
      </c>
      <c r="H49" s="106">
        <v>0</v>
      </c>
      <c r="I49" s="123">
        <v>0</v>
      </c>
      <c r="J49" s="129">
        <f t="shared" si="7"/>
        <v>0</v>
      </c>
      <c r="K49" s="131">
        <f t="shared" si="0"/>
        <v>0</v>
      </c>
      <c r="L49" s="34"/>
      <c r="M49" s="166">
        <v>0</v>
      </c>
      <c r="N49" s="169">
        <f t="shared" si="1"/>
        <v>0</v>
      </c>
      <c r="O49" s="166">
        <v>0</v>
      </c>
      <c r="P49" s="167">
        <f t="shared" si="2"/>
        <v>0</v>
      </c>
      <c r="Q49" s="180">
        <v>0</v>
      </c>
      <c r="R49" s="169">
        <f t="shared" si="3"/>
        <v>0</v>
      </c>
      <c r="S49" s="172">
        <f t="shared" si="6"/>
        <v>0</v>
      </c>
      <c r="U49" s="140"/>
      <c r="V49" s="137" t="s">
        <v>45</v>
      </c>
      <c r="W49" s="143">
        <f>SUM(W50:W59)</f>
        <v>0</v>
      </c>
      <c r="AG49" s="28"/>
    </row>
    <row r="50" spans="1:33" s="36" customFormat="1" ht="12.75" customHeight="1" x14ac:dyDescent="0.2">
      <c r="A50" s="837"/>
      <c r="B50" s="844"/>
      <c r="C50" s="69"/>
      <c r="D50" s="71"/>
      <c r="E50" s="72"/>
      <c r="F50" s="86" t="s">
        <v>118</v>
      </c>
      <c r="G50" s="106">
        <v>0</v>
      </c>
      <c r="H50" s="106">
        <v>0</v>
      </c>
      <c r="I50" s="123">
        <v>0</v>
      </c>
      <c r="J50" s="129">
        <f t="shared" ref="J50:J53" si="9">SUM(G50:I50)</f>
        <v>0</v>
      </c>
      <c r="K50" s="131">
        <f t="shared" si="0"/>
        <v>0</v>
      </c>
      <c r="L50" s="34"/>
      <c r="M50" s="166">
        <v>0</v>
      </c>
      <c r="N50" s="169">
        <f t="shared" si="1"/>
        <v>0</v>
      </c>
      <c r="O50" s="166">
        <v>0</v>
      </c>
      <c r="P50" s="167">
        <f t="shared" si="2"/>
        <v>0</v>
      </c>
      <c r="Q50" s="180">
        <v>0</v>
      </c>
      <c r="R50" s="169">
        <f t="shared" si="3"/>
        <v>0</v>
      </c>
      <c r="S50" s="172">
        <f t="shared" si="6"/>
        <v>0</v>
      </c>
      <c r="U50" s="141">
        <v>53203010200000</v>
      </c>
      <c r="V50" s="138" t="s">
        <v>46</v>
      </c>
      <c r="W50" s="144">
        <v>0</v>
      </c>
      <c r="AG50" s="28"/>
    </row>
    <row r="51" spans="1:33" s="36" customFormat="1" ht="12.75" customHeight="1" x14ac:dyDescent="0.2">
      <c r="A51" s="837"/>
      <c r="B51" s="844"/>
      <c r="C51" s="69"/>
      <c r="D51" s="71"/>
      <c r="E51" s="72"/>
      <c r="F51" s="86" t="s">
        <v>118</v>
      </c>
      <c r="G51" s="106">
        <v>0</v>
      </c>
      <c r="H51" s="106">
        <v>0</v>
      </c>
      <c r="I51" s="123">
        <v>0</v>
      </c>
      <c r="J51" s="129">
        <f t="shared" si="9"/>
        <v>0</v>
      </c>
      <c r="K51" s="131">
        <f t="shared" si="0"/>
        <v>0</v>
      </c>
      <c r="L51" s="34"/>
      <c r="M51" s="166">
        <v>0</v>
      </c>
      <c r="N51" s="169">
        <f t="shared" si="1"/>
        <v>0</v>
      </c>
      <c r="O51" s="166">
        <v>0</v>
      </c>
      <c r="P51" s="167">
        <f t="shared" si="2"/>
        <v>0</v>
      </c>
      <c r="Q51" s="180">
        <v>0</v>
      </c>
      <c r="R51" s="169">
        <f t="shared" si="3"/>
        <v>0</v>
      </c>
      <c r="S51" s="172">
        <f t="shared" si="6"/>
        <v>0</v>
      </c>
      <c r="U51" s="141">
        <v>53204010000000</v>
      </c>
      <c r="V51" s="138" t="s">
        <v>47</v>
      </c>
      <c r="W51" s="144">
        <v>0</v>
      </c>
      <c r="AG51" s="28"/>
    </row>
    <row r="52" spans="1:33" s="36" customFormat="1" ht="12.75" customHeight="1" x14ac:dyDescent="0.2">
      <c r="A52" s="837"/>
      <c r="B52" s="844"/>
      <c r="C52" s="69"/>
      <c r="D52" s="71"/>
      <c r="E52" s="72"/>
      <c r="F52" s="86" t="s">
        <v>118</v>
      </c>
      <c r="G52" s="106">
        <v>0</v>
      </c>
      <c r="H52" s="106">
        <v>0</v>
      </c>
      <c r="I52" s="123">
        <v>0</v>
      </c>
      <c r="J52" s="129">
        <f t="shared" si="9"/>
        <v>0</v>
      </c>
      <c r="K52" s="131">
        <f t="shared" si="0"/>
        <v>0</v>
      </c>
      <c r="L52" s="34"/>
      <c r="M52" s="166">
        <v>0</v>
      </c>
      <c r="N52" s="169">
        <f t="shared" si="1"/>
        <v>0</v>
      </c>
      <c r="O52" s="166">
        <v>0</v>
      </c>
      <c r="P52" s="167">
        <f t="shared" si="2"/>
        <v>0</v>
      </c>
      <c r="Q52" s="180">
        <v>0</v>
      </c>
      <c r="R52" s="169">
        <f t="shared" si="3"/>
        <v>0</v>
      </c>
      <c r="S52" s="172">
        <f t="shared" si="6"/>
        <v>0</v>
      </c>
      <c r="U52" s="141">
        <v>53204040200000</v>
      </c>
      <c r="V52" s="138" t="s">
        <v>48</v>
      </c>
      <c r="W52" s="144">
        <v>0</v>
      </c>
      <c r="AG52" s="28"/>
    </row>
    <row r="53" spans="1:33" s="36" customFormat="1" ht="12.75" customHeight="1" x14ac:dyDescent="0.2">
      <c r="A53" s="837"/>
      <c r="B53" s="844"/>
      <c r="C53" s="69"/>
      <c r="D53" s="71"/>
      <c r="E53" s="72"/>
      <c r="F53" s="86" t="s">
        <v>118</v>
      </c>
      <c r="G53" s="106">
        <v>0</v>
      </c>
      <c r="H53" s="106">
        <v>0</v>
      </c>
      <c r="I53" s="123">
        <v>0</v>
      </c>
      <c r="J53" s="129">
        <f t="shared" si="9"/>
        <v>0</v>
      </c>
      <c r="K53" s="131">
        <f t="shared" si="0"/>
        <v>0</v>
      </c>
      <c r="L53" s="34"/>
      <c r="M53" s="166">
        <v>0</v>
      </c>
      <c r="N53" s="169">
        <f t="shared" si="1"/>
        <v>0</v>
      </c>
      <c r="O53" s="166">
        <v>0</v>
      </c>
      <c r="P53" s="167">
        <f t="shared" si="2"/>
        <v>0</v>
      </c>
      <c r="Q53" s="180">
        <v>0</v>
      </c>
      <c r="R53" s="169">
        <f t="shared" si="3"/>
        <v>0</v>
      </c>
      <c r="S53" s="172">
        <f t="shared" si="6"/>
        <v>0</v>
      </c>
      <c r="U53" s="141">
        <v>53204060000000</v>
      </c>
      <c r="V53" s="138" t="s">
        <v>49</v>
      </c>
      <c r="W53" s="144">
        <v>0</v>
      </c>
      <c r="AG53" s="28"/>
    </row>
    <row r="54" spans="1:33" s="36" customFormat="1" ht="12.75" customHeight="1" x14ac:dyDescent="0.2">
      <c r="A54" s="837"/>
      <c r="B54" s="845"/>
      <c r="C54" s="69"/>
      <c r="D54" s="71"/>
      <c r="E54" s="72"/>
      <c r="F54" s="86" t="s">
        <v>118</v>
      </c>
      <c r="G54" s="106">
        <v>0</v>
      </c>
      <c r="H54" s="106">
        <v>0</v>
      </c>
      <c r="I54" s="123">
        <v>0</v>
      </c>
      <c r="J54" s="129">
        <f t="shared" si="7"/>
        <v>0</v>
      </c>
      <c r="K54" s="131">
        <f t="shared" si="0"/>
        <v>0</v>
      </c>
      <c r="L54" s="34"/>
      <c r="M54" s="166">
        <v>0</v>
      </c>
      <c r="N54" s="169">
        <f t="shared" si="1"/>
        <v>0</v>
      </c>
      <c r="O54" s="166">
        <v>0</v>
      </c>
      <c r="P54" s="167">
        <f t="shared" si="2"/>
        <v>0</v>
      </c>
      <c r="Q54" s="180">
        <v>0</v>
      </c>
      <c r="R54" s="169">
        <f t="shared" si="3"/>
        <v>0</v>
      </c>
      <c r="S54" s="172">
        <f t="shared" si="6"/>
        <v>0</v>
      </c>
      <c r="U54" s="141">
        <v>53204070000000</v>
      </c>
      <c r="V54" s="138" t="s">
        <v>50</v>
      </c>
      <c r="W54" s="144">
        <v>0</v>
      </c>
      <c r="AG54" s="28"/>
    </row>
    <row r="55" spans="1:33" s="36" customFormat="1" ht="12.75" customHeight="1" x14ac:dyDescent="0.2">
      <c r="A55" s="837"/>
      <c r="B55" s="845"/>
      <c r="C55" s="69"/>
      <c r="D55" s="71"/>
      <c r="E55" s="72"/>
      <c r="F55" s="86" t="s">
        <v>118</v>
      </c>
      <c r="G55" s="106">
        <v>0</v>
      </c>
      <c r="H55" s="106">
        <v>0</v>
      </c>
      <c r="I55" s="123">
        <v>0</v>
      </c>
      <c r="J55" s="129">
        <f t="shared" si="7"/>
        <v>0</v>
      </c>
      <c r="K55" s="131">
        <f t="shared" si="0"/>
        <v>0</v>
      </c>
      <c r="L55" s="34"/>
      <c r="M55" s="166">
        <v>0</v>
      </c>
      <c r="N55" s="169">
        <f t="shared" si="1"/>
        <v>0</v>
      </c>
      <c r="O55" s="166">
        <v>0</v>
      </c>
      <c r="P55" s="167">
        <f t="shared" si="2"/>
        <v>0</v>
      </c>
      <c r="Q55" s="180">
        <v>0</v>
      </c>
      <c r="R55" s="169">
        <f t="shared" si="3"/>
        <v>0</v>
      </c>
      <c r="S55" s="172">
        <f t="shared" si="6"/>
        <v>0</v>
      </c>
      <c r="U55" s="141">
        <v>53204080000000</v>
      </c>
      <c r="V55" s="138" t="s">
        <v>51</v>
      </c>
      <c r="W55" s="144">
        <v>0</v>
      </c>
      <c r="AG55" s="28"/>
    </row>
    <row r="56" spans="1:33" s="36" customFormat="1" ht="12.75" customHeight="1" x14ac:dyDescent="0.2">
      <c r="A56" s="837"/>
      <c r="B56" s="845"/>
      <c r="C56" s="69"/>
      <c r="D56" s="71"/>
      <c r="E56" s="72"/>
      <c r="F56" s="86" t="s">
        <v>118</v>
      </c>
      <c r="G56" s="106">
        <v>0</v>
      </c>
      <c r="H56" s="106">
        <v>0</v>
      </c>
      <c r="I56" s="123">
        <v>0</v>
      </c>
      <c r="J56" s="129">
        <f t="shared" si="7"/>
        <v>0</v>
      </c>
      <c r="K56" s="131">
        <f t="shared" si="0"/>
        <v>0</v>
      </c>
      <c r="L56" s="34"/>
      <c r="M56" s="166">
        <v>0</v>
      </c>
      <c r="N56" s="169">
        <f t="shared" si="1"/>
        <v>0</v>
      </c>
      <c r="O56" s="166">
        <v>0</v>
      </c>
      <c r="P56" s="167">
        <f t="shared" si="2"/>
        <v>0</v>
      </c>
      <c r="Q56" s="180">
        <v>0</v>
      </c>
      <c r="R56" s="169">
        <f t="shared" si="3"/>
        <v>0</v>
      </c>
      <c r="S56" s="172">
        <f t="shared" si="6"/>
        <v>0</v>
      </c>
      <c r="U56" s="141">
        <v>53214010000000</v>
      </c>
      <c r="V56" s="138" t="s">
        <v>52</v>
      </c>
      <c r="W56" s="144">
        <v>0</v>
      </c>
      <c r="AG56" s="28"/>
    </row>
    <row r="57" spans="1:33" s="36" customFormat="1" ht="12.75" customHeight="1" x14ac:dyDescent="0.2">
      <c r="A57" s="837"/>
      <c r="B57" s="845"/>
      <c r="C57" s="69"/>
      <c r="D57" s="71"/>
      <c r="E57" s="72"/>
      <c r="F57" s="86" t="s">
        <v>118</v>
      </c>
      <c r="G57" s="106">
        <v>0</v>
      </c>
      <c r="H57" s="106">
        <v>0</v>
      </c>
      <c r="I57" s="123">
        <v>0</v>
      </c>
      <c r="J57" s="129">
        <f t="shared" si="7"/>
        <v>0</v>
      </c>
      <c r="K57" s="131">
        <f t="shared" si="0"/>
        <v>0</v>
      </c>
      <c r="L57" s="34"/>
      <c r="M57" s="166">
        <v>0</v>
      </c>
      <c r="N57" s="169">
        <f t="shared" si="1"/>
        <v>0</v>
      </c>
      <c r="O57" s="166">
        <v>0</v>
      </c>
      <c r="P57" s="167">
        <f t="shared" si="2"/>
        <v>0</v>
      </c>
      <c r="Q57" s="180">
        <v>0</v>
      </c>
      <c r="R57" s="169">
        <f t="shared" si="3"/>
        <v>0</v>
      </c>
      <c r="S57" s="172">
        <f t="shared" si="6"/>
        <v>0</v>
      </c>
      <c r="U57" s="141">
        <v>53214040000000</v>
      </c>
      <c r="V57" s="138" t="s">
        <v>133</v>
      </c>
      <c r="W57" s="144">
        <v>0</v>
      </c>
      <c r="AG57" s="28"/>
    </row>
    <row r="58" spans="1:33" s="36" customFormat="1" ht="12.75" customHeight="1" x14ac:dyDescent="0.2">
      <c r="A58" s="837"/>
      <c r="B58" s="845"/>
      <c r="C58" s="69"/>
      <c r="D58" s="71"/>
      <c r="E58" s="72"/>
      <c r="F58" s="86" t="s">
        <v>118</v>
      </c>
      <c r="G58" s="106">
        <v>0</v>
      </c>
      <c r="H58" s="106">
        <v>0</v>
      </c>
      <c r="I58" s="123">
        <v>0</v>
      </c>
      <c r="J58" s="129">
        <f t="shared" si="7"/>
        <v>0</v>
      </c>
      <c r="K58" s="131">
        <f t="shared" si="0"/>
        <v>0</v>
      </c>
      <c r="L58" s="34"/>
      <c r="M58" s="166">
        <v>0</v>
      </c>
      <c r="N58" s="169">
        <f t="shared" si="1"/>
        <v>0</v>
      </c>
      <c r="O58" s="166">
        <v>0</v>
      </c>
      <c r="P58" s="167">
        <f t="shared" si="2"/>
        <v>0</v>
      </c>
      <c r="Q58" s="180">
        <v>0</v>
      </c>
      <c r="R58" s="169">
        <f t="shared" si="3"/>
        <v>0</v>
      </c>
      <c r="S58" s="172">
        <f t="shared" si="6"/>
        <v>0</v>
      </c>
      <c r="U58" s="141">
        <v>55201010100004</v>
      </c>
      <c r="V58" s="138" t="s">
        <v>53</v>
      </c>
      <c r="W58" s="144">
        <v>0</v>
      </c>
      <c r="AG58" s="28"/>
    </row>
    <row r="59" spans="1:33" s="36" customFormat="1" ht="12.75" customHeight="1" x14ac:dyDescent="0.2">
      <c r="A59" s="837"/>
      <c r="B59" s="845"/>
      <c r="C59" s="69"/>
      <c r="D59" s="71"/>
      <c r="E59" s="72"/>
      <c r="F59" s="86" t="s">
        <v>118</v>
      </c>
      <c r="G59" s="106">
        <v>0</v>
      </c>
      <c r="H59" s="106">
        <v>0</v>
      </c>
      <c r="I59" s="123">
        <v>0</v>
      </c>
      <c r="J59" s="129">
        <f t="shared" si="7"/>
        <v>0</v>
      </c>
      <c r="K59" s="131">
        <f t="shared" si="0"/>
        <v>0</v>
      </c>
      <c r="L59" s="34"/>
      <c r="M59" s="166">
        <v>0</v>
      </c>
      <c r="N59" s="169">
        <f t="shared" si="1"/>
        <v>0</v>
      </c>
      <c r="O59" s="166">
        <v>0</v>
      </c>
      <c r="P59" s="167">
        <f t="shared" si="2"/>
        <v>0</v>
      </c>
      <c r="Q59" s="180">
        <v>0</v>
      </c>
      <c r="R59" s="169">
        <f t="shared" si="3"/>
        <v>0</v>
      </c>
      <c r="S59" s="172">
        <f t="shared" si="6"/>
        <v>0</v>
      </c>
      <c r="U59" s="141">
        <v>55201010100005</v>
      </c>
      <c r="V59" s="138" t="s">
        <v>54</v>
      </c>
      <c r="W59" s="144">
        <v>0</v>
      </c>
      <c r="AG59" s="28"/>
    </row>
    <row r="60" spans="1:33" s="36" customFormat="1" ht="12.75" customHeight="1" x14ac:dyDescent="0.2">
      <c r="A60" s="837"/>
      <c r="B60" s="845"/>
      <c r="C60" s="69"/>
      <c r="D60" s="71"/>
      <c r="E60" s="72"/>
      <c r="F60" s="86" t="s">
        <v>118</v>
      </c>
      <c r="G60" s="106">
        <v>0</v>
      </c>
      <c r="H60" s="106">
        <v>0</v>
      </c>
      <c r="I60" s="123">
        <v>0</v>
      </c>
      <c r="J60" s="129">
        <f t="shared" si="7"/>
        <v>0</v>
      </c>
      <c r="K60" s="131">
        <f t="shared" si="0"/>
        <v>0</v>
      </c>
      <c r="L60" s="34"/>
      <c r="M60" s="166">
        <v>0</v>
      </c>
      <c r="N60" s="169">
        <f t="shared" si="1"/>
        <v>0</v>
      </c>
      <c r="O60" s="166">
        <v>0</v>
      </c>
      <c r="P60" s="167">
        <f t="shared" si="2"/>
        <v>0</v>
      </c>
      <c r="Q60" s="180">
        <v>0</v>
      </c>
      <c r="R60" s="169">
        <f t="shared" si="3"/>
        <v>0</v>
      </c>
      <c r="S60" s="172">
        <f t="shared" si="6"/>
        <v>0</v>
      </c>
      <c r="U60" s="140"/>
      <c r="V60" s="137" t="s">
        <v>55</v>
      </c>
      <c r="W60" s="143">
        <f>SUM(W61:W69)</f>
        <v>0</v>
      </c>
      <c r="AG60" s="28"/>
    </row>
    <row r="61" spans="1:33" s="36" customFormat="1" ht="12.75" customHeight="1" thickBot="1" x14ac:dyDescent="0.25">
      <c r="A61" s="838"/>
      <c r="B61" s="846"/>
      <c r="C61" s="133"/>
      <c r="D61" s="107"/>
      <c r="E61" s="108"/>
      <c r="F61" s="109" t="s">
        <v>118</v>
      </c>
      <c r="G61" s="110">
        <v>0</v>
      </c>
      <c r="H61" s="110">
        <v>0</v>
      </c>
      <c r="I61" s="124">
        <v>0</v>
      </c>
      <c r="J61" s="127">
        <f t="shared" si="7"/>
        <v>0</v>
      </c>
      <c r="K61" s="119">
        <f t="shared" si="0"/>
        <v>0</v>
      </c>
      <c r="L61" s="34"/>
      <c r="M61" s="371">
        <v>0</v>
      </c>
      <c r="N61" s="372">
        <f t="shared" si="1"/>
        <v>0</v>
      </c>
      <c r="O61" s="371">
        <v>0</v>
      </c>
      <c r="P61" s="373">
        <f t="shared" si="2"/>
        <v>0</v>
      </c>
      <c r="Q61" s="374">
        <v>0</v>
      </c>
      <c r="R61" s="372">
        <f t="shared" si="3"/>
        <v>0</v>
      </c>
      <c r="S61" s="174">
        <f t="shared" si="6"/>
        <v>0</v>
      </c>
      <c r="U61" s="141">
        <v>53207010000000</v>
      </c>
      <c r="V61" s="138" t="s">
        <v>56</v>
      </c>
      <c r="W61" s="144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70">
        <f>SUM(K15:K61)</f>
        <v>63638093.710000008</v>
      </c>
      <c r="L62" s="28"/>
      <c r="M62" s="375">
        <f>+N62/$K$62</f>
        <v>0.46685128696479927</v>
      </c>
      <c r="N62" s="376">
        <f>SUM(N15:N61)</f>
        <v>29709525.9485</v>
      </c>
      <c r="O62" s="375">
        <f>+P62/$K$62</f>
        <v>0.37208582963538928</v>
      </c>
      <c r="P62" s="376">
        <f>SUM(P15:P61)</f>
        <v>23678832.894500002</v>
      </c>
      <c r="Q62" s="375">
        <f>+R62/$K$62</f>
        <v>0.16106288339981134</v>
      </c>
      <c r="R62" s="376">
        <f>SUM(R15:R61)</f>
        <v>10249734.866999999</v>
      </c>
      <c r="S62" s="28"/>
      <c r="U62" s="141">
        <v>53207020000000</v>
      </c>
      <c r="V62" s="138" t="s">
        <v>57</v>
      </c>
      <c r="W62" s="144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3">
        <v>1</v>
      </c>
      <c r="L63" s="28"/>
      <c r="M63" s="28"/>
      <c r="O63" s="28"/>
      <c r="P63" s="28"/>
      <c r="Q63" s="28"/>
      <c r="R63" s="28"/>
      <c r="S63" s="28"/>
      <c r="U63" s="141">
        <v>53208020000000</v>
      </c>
      <c r="V63" s="138" t="s">
        <v>58</v>
      </c>
      <c r="W63" s="144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41">
        <v>53208990000000</v>
      </c>
      <c r="V64" s="138" t="s">
        <v>59</v>
      </c>
      <c r="W64" s="144">
        <v>0</v>
      </c>
      <c r="AG64" s="28"/>
    </row>
    <row r="65" spans="1:33" s="36" customFormat="1" ht="12.75" customHeight="1" x14ac:dyDescent="0.2">
      <c r="A65" s="831" t="s">
        <v>141</v>
      </c>
      <c r="B65" s="834" t="s">
        <v>121</v>
      </c>
      <c r="C65" s="132"/>
      <c r="D65" s="111"/>
      <c r="E65" s="112"/>
      <c r="F65" s="113" t="s">
        <v>120</v>
      </c>
      <c r="G65" s="105">
        <v>0</v>
      </c>
      <c r="H65" s="105">
        <v>0</v>
      </c>
      <c r="I65" s="122">
        <v>0</v>
      </c>
      <c r="J65" s="125">
        <f t="shared" si="5"/>
        <v>0</v>
      </c>
      <c r="K65" s="120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41">
        <v>53209010000000</v>
      </c>
      <c r="V65" s="138" t="s">
        <v>60</v>
      </c>
      <c r="W65" s="144">
        <v>0</v>
      </c>
      <c r="AG65" s="28"/>
    </row>
    <row r="66" spans="1:33" s="36" customFormat="1" ht="12.75" customHeight="1" x14ac:dyDescent="0.2">
      <c r="A66" s="832"/>
      <c r="B66" s="835"/>
      <c r="C66" s="70"/>
      <c r="D66" s="114"/>
      <c r="E66" s="115"/>
      <c r="F66" s="73" t="s">
        <v>120</v>
      </c>
      <c r="G66" s="106">
        <v>0</v>
      </c>
      <c r="H66" s="106">
        <v>0</v>
      </c>
      <c r="I66" s="123">
        <v>0</v>
      </c>
      <c r="J66" s="126">
        <f t="shared" si="5"/>
        <v>0</v>
      </c>
      <c r="K66" s="121">
        <f t="shared" si="0"/>
        <v>0</v>
      </c>
      <c r="L66" s="34"/>
      <c r="M66" s="28"/>
      <c r="N66" s="28"/>
      <c r="O66" s="28"/>
      <c r="P66" s="28"/>
      <c r="Q66" s="28"/>
      <c r="R66" s="28"/>
      <c r="S66" s="28"/>
      <c r="U66" s="141">
        <v>53209040000000</v>
      </c>
      <c r="V66" s="138" t="s">
        <v>61</v>
      </c>
      <c r="W66" s="144">
        <v>0</v>
      </c>
      <c r="AG66" s="28"/>
    </row>
    <row r="67" spans="1:33" s="36" customFormat="1" ht="12.75" customHeight="1" x14ac:dyDescent="0.2">
      <c r="A67" s="832"/>
      <c r="B67" s="835"/>
      <c r="C67" s="70"/>
      <c r="D67" s="114"/>
      <c r="E67" s="115"/>
      <c r="F67" s="73" t="s">
        <v>120</v>
      </c>
      <c r="G67" s="106">
        <v>0</v>
      </c>
      <c r="H67" s="106">
        <v>0</v>
      </c>
      <c r="I67" s="123">
        <v>0</v>
      </c>
      <c r="J67" s="126">
        <f t="shared" si="5"/>
        <v>0</v>
      </c>
      <c r="K67" s="121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41">
        <v>53209050000000</v>
      </c>
      <c r="V67" s="138" t="s">
        <v>62</v>
      </c>
      <c r="W67" s="144">
        <v>0</v>
      </c>
      <c r="AG67" s="28"/>
    </row>
    <row r="68" spans="1:33" s="36" customFormat="1" ht="12.75" customHeight="1" x14ac:dyDescent="0.2">
      <c r="A68" s="832"/>
      <c r="B68" s="835"/>
      <c r="C68" s="68"/>
      <c r="D68" s="116"/>
      <c r="E68" s="117"/>
      <c r="F68" s="118" t="s">
        <v>120</v>
      </c>
      <c r="G68" s="106">
        <v>0</v>
      </c>
      <c r="H68" s="106">
        <v>0</v>
      </c>
      <c r="I68" s="123">
        <v>0</v>
      </c>
      <c r="J68" s="126">
        <f t="shared" si="5"/>
        <v>0</v>
      </c>
      <c r="K68" s="121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41">
        <v>53209990000000</v>
      </c>
      <c r="V68" s="138" t="s">
        <v>63</v>
      </c>
      <c r="W68" s="144">
        <v>0</v>
      </c>
      <c r="AG68" s="28"/>
    </row>
    <row r="69" spans="1:33" s="36" customFormat="1" ht="12.75" customHeight="1" thickBot="1" x14ac:dyDescent="0.25">
      <c r="A69" s="833"/>
      <c r="B69" s="836"/>
      <c r="C69" s="133"/>
      <c r="D69" s="107"/>
      <c r="E69" s="108"/>
      <c r="F69" s="109" t="s">
        <v>120</v>
      </c>
      <c r="G69" s="110">
        <v>0</v>
      </c>
      <c r="H69" s="110">
        <v>0</v>
      </c>
      <c r="I69" s="124">
        <v>0</v>
      </c>
      <c r="J69" s="127">
        <f t="shared" si="5"/>
        <v>0</v>
      </c>
      <c r="K69" s="119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41">
        <v>53210020100000</v>
      </c>
      <c r="V69" s="138" t="s">
        <v>64</v>
      </c>
      <c r="W69" s="144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62">
        <f>SUM(K65:K69)</f>
        <v>0</v>
      </c>
      <c r="L70" s="34"/>
      <c r="U70" s="140"/>
      <c r="V70" s="137" t="s">
        <v>65</v>
      </c>
      <c r="W70" s="143">
        <f>SUM(W71:W77)</f>
        <v>0</v>
      </c>
    </row>
    <row r="71" spans="1:33" x14ac:dyDescent="0.2">
      <c r="K71" s="63">
        <v>1</v>
      </c>
      <c r="L71" s="34"/>
      <c r="M71" s="39"/>
      <c r="O71" s="39"/>
      <c r="Q71" s="39"/>
      <c r="U71" s="141">
        <v>53206030000000</v>
      </c>
      <c r="V71" s="138" t="s">
        <v>99</v>
      </c>
      <c r="W71" s="144">
        <v>0</v>
      </c>
    </row>
    <row r="72" spans="1:33" x14ac:dyDescent="0.2">
      <c r="L72" s="34"/>
      <c r="U72" s="141">
        <v>53206040000000</v>
      </c>
      <c r="V72" s="138" t="s">
        <v>100</v>
      </c>
      <c r="W72" s="144">
        <v>0</v>
      </c>
    </row>
    <row r="73" spans="1:33" x14ac:dyDescent="0.2">
      <c r="U73" s="141">
        <v>53206060000000</v>
      </c>
      <c r="V73" s="138" t="s">
        <v>101</v>
      </c>
      <c r="W73" s="144">
        <v>0</v>
      </c>
    </row>
    <row r="74" spans="1:33" x14ac:dyDescent="0.2">
      <c r="U74" s="141">
        <v>53206070000000</v>
      </c>
      <c r="V74" s="138" t="s">
        <v>102</v>
      </c>
      <c r="W74" s="144">
        <v>0</v>
      </c>
    </row>
    <row r="75" spans="1:33" ht="15.75" customHeight="1" x14ac:dyDescent="0.2">
      <c r="H75" s="135"/>
      <c r="U75" s="141">
        <v>53206990000000</v>
      </c>
      <c r="V75" s="138" t="s">
        <v>103</v>
      </c>
      <c r="W75" s="144">
        <v>0</v>
      </c>
    </row>
    <row r="76" spans="1:33" x14ac:dyDescent="0.2">
      <c r="U76" s="141">
        <v>53208030000000</v>
      </c>
      <c r="V76" s="138" t="s">
        <v>104</v>
      </c>
      <c r="W76" s="144">
        <v>0</v>
      </c>
    </row>
    <row r="77" spans="1:33" x14ac:dyDescent="0.2">
      <c r="U77" s="141">
        <v>53212060000000</v>
      </c>
      <c r="V77" s="138" t="s">
        <v>97</v>
      </c>
      <c r="W77" s="144">
        <v>0</v>
      </c>
    </row>
    <row r="78" spans="1:33" x14ac:dyDescent="0.2">
      <c r="U78" s="140"/>
      <c r="V78" s="137" t="s">
        <v>66</v>
      </c>
      <c r="W78" s="143">
        <f>SUM(W79:W79)</f>
        <v>0</v>
      </c>
    </row>
    <row r="79" spans="1:33" x14ac:dyDescent="0.2">
      <c r="U79" s="141">
        <v>53204999000000</v>
      </c>
      <c r="V79" s="138" t="s">
        <v>96</v>
      </c>
      <c r="W79" s="144">
        <v>0</v>
      </c>
    </row>
    <row r="80" spans="1:33" x14ac:dyDescent="0.2">
      <c r="U80" s="145"/>
      <c r="V80" s="146" t="s">
        <v>143</v>
      </c>
      <c r="W80" s="147">
        <f>+W40+W15</f>
        <v>8007800</v>
      </c>
    </row>
    <row r="83" ht="15.75" customHeight="1" x14ac:dyDescent="0.2"/>
    <row r="97" spans="11:12" x14ac:dyDescent="0.2">
      <c r="L97" s="149"/>
    </row>
    <row r="99" spans="11:12" x14ac:dyDescent="0.2">
      <c r="K99" s="163"/>
    </row>
    <row r="101" spans="11:12" x14ac:dyDescent="0.2">
      <c r="K101" s="150"/>
    </row>
  </sheetData>
  <sheetProtection algorithmName="SHA-512" hashValue="Rouo/sP32A0uD2wKfbkBKaXOxmHiLSvblllZn1DTdCZ5yCmJn0Iwkz/OUvOc4ssogcFz0WCncY8vbagixIZGHg==" saltValue="rLN5EBSpbTqDVj8fyeHqt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topLeftCell="B8" zoomScale="90" zoomScaleNormal="90" workbookViewId="0">
      <selection activeCell="E13" sqref="E13:G13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205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197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98"/>
      <c r="F4" s="98" t="s">
        <v>0</v>
      </c>
      <c r="G4" s="876" t="str">
        <f>+'B) Reajuste Tarifas y Ocupación'!F5</f>
        <v>BIENIQUE</v>
      </c>
      <c r="H4" s="877"/>
      <c r="I4" s="98"/>
      <c r="J4" s="98"/>
      <c r="K4" s="98"/>
      <c r="L4" s="98"/>
      <c r="M4" s="98"/>
      <c r="N4" s="98"/>
      <c r="O4" s="98"/>
      <c r="P4" s="98"/>
      <c r="Q4" s="98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98"/>
      <c r="F5" s="98"/>
      <c r="G5" s="101"/>
      <c r="H5" s="101"/>
      <c r="I5" s="98"/>
      <c r="J5" s="98"/>
      <c r="K5" s="98"/>
      <c r="L5" s="98"/>
      <c r="M5" s="98"/>
      <c r="N5" s="98"/>
      <c r="O5" s="98"/>
      <c r="P5" s="98"/>
      <c r="Q5" s="98"/>
      <c r="IA5" s="4"/>
      <c r="IB5" s="4"/>
      <c r="IC5" s="4"/>
      <c r="ID5" s="4"/>
      <c r="IE5" s="4"/>
      <c r="IF5" s="4"/>
    </row>
    <row r="6" spans="1:245" s="6" customFormat="1" ht="15.75" x14ac:dyDescent="0.2">
      <c r="A6" s="883" t="s">
        <v>159</v>
      </c>
      <c r="B6" s="883"/>
      <c r="C6" s="883"/>
      <c r="D6" s="883"/>
      <c r="E6" s="100"/>
      <c r="F6" s="98"/>
      <c r="G6" s="101"/>
      <c r="H6" s="101"/>
      <c r="I6" s="98"/>
      <c r="J6" s="98"/>
      <c r="K6" s="98"/>
      <c r="L6" s="98"/>
      <c r="M6" s="98"/>
      <c r="N6" s="98"/>
      <c r="O6" s="98"/>
      <c r="P6" s="98"/>
      <c r="Q6" s="98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884" t="s">
        <v>113</v>
      </c>
      <c r="B8" s="886" t="s">
        <v>5</v>
      </c>
      <c r="C8" s="881" t="s">
        <v>230</v>
      </c>
      <c r="D8" s="765"/>
      <c r="E8" s="765"/>
      <c r="F8" s="765"/>
      <c r="G8" s="882"/>
      <c r="H8" s="878" t="s">
        <v>140</v>
      </c>
      <c r="I8" s="879"/>
      <c r="J8" s="879"/>
      <c r="K8" s="879"/>
      <c r="L8" s="880"/>
      <c r="M8" s="874" t="s">
        <v>123</v>
      </c>
      <c r="N8" s="874"/>
      <c r="O8" s="874"/>
      <c r="P8" s="874"/>
      <c r="Q8" s="875"/>
      <c r="R8" s="874" t="s">
        <v>124</v>
      </c>
      <c r="S8" s="874"/>
      <c r="T8" s="874"/>
      <c r="U8" s="874"/>
      <c r="V8" s="875"/>
    </row>
    <row r="9" spans="1:245" ht="64.5" thickBot="1" x14ac:dyDescent="0.25">
      <c r="A9" s="885" t="e">
        <f>NA()</f>
        <v>#N/A</v>
      </c>
      <c r="B9" s="887" t="e">
        <f>NA()</f>
        <v>#N/A</v>
      </c>
      <c r="C9" s="81" t="s">
        <v>86</v>
      </c>
      <c r="D9" s="80" t="s">
        <v>138</v>
      </c>
      <c r="E9" s="80" t="s">
        <v>139</v>
      </c>
      <c r="F9" s="80" t="s">
        <v>87</v>
      </c>
      <c r="G9" s="51" t="s">
        <v>88</v>
      </c>
      <c r="H9" s="82" t="s">
        <v>86</v>
      </c>
      <c r="I9" s="79" t="s">
        <v>138</v>
      </c>
      <c r="J9" s="79" t="s">
        <v>139</v>
      </c>
      <c r="K9" s="79" t="s">
        <v>87</v>
      </c>
      <c r="L9" s="52" t="s">
        <v>88</v>
      </c>
      <c r="M9" s="78" t="s">
        <v>86</v>
      </c>
      <c r="N9" s="79" t="s">
        <v>138</v>
      </c>
      <c r="O9" s="79" t="s">
        <v>139</v>
      </c>
      <c r="P9" s="79" t="s">
        <v>87</v>
      </c>
      <c r="Q9" s="61" t="s">
        <v>88</v>
      </c>
      <c r="R9" s="83" t="s">
        <v>86</v>
      </c>
      <c r="S9" s="79" t="s">
        <v>138</v>
      </c>
      <c r="T9" s="79" t="s">
        <v>139</v>
      </c>
      <c r="U9" s="79" t="s">
        <v>87</v>
      </c>
      <c r="V9" s="61" t="s">
        <v>88</v>
      </c>
    </row>
    <row r="10" spans="1:245" s="10" customFormat="1" x14ac:dyDescent="0.2">
      <c r="A10" s="871" t="str">
        <f>+'B) Reajuste Tarifas y Ocupación'!A12</f>
        <v>Jardín Infantil Pequeños Héroes</v>
      </c>
      <c r="B10" s="305" t="str">
        <f>+'B) Reajuste Tarifas y Ocupación'!B12</f>
        <v>Media jornada</v>
      </c>
      <c r="C10" s="309">
        <f>+'B) Reajuste Tarifas y Ocupación'!M12</f>
        <v>70200</v>
      </c>
      <c r="D10" s="310">
        <f>+'B) Reajuste Tarifas y Ocupación'!N12</f>
        <v>84300</v>
      </c>
      <c r="E10" s="310">
        <f>+'B) Reajuste Tarifas y Ocupación'!O12</f>
        <v>84300</v>
      </c>
      <c r="F10" s="310">
        <f>+'B) Reajuste Tarifas y Ocupación'!P12</f>
        <v>120400</v>
      </c>
      <c r="G10" s="317">
        <f>+'B) Reajuste Tarifas y Ocupación'!Q12</f>
        <v>177100</v>
      </c>
      <c r="H10" s="320">
        <f>+'B) Reajuste Tarifas y Ocupación'!C12</f>
        <v>70200</v>
      </c>
      <c r="I10" s="321">
        <f>+'B) Reajuste Tarifas y Ocupación'!D12</f>
        <v>84300</v>
      </c>
      <c r="J10" s="321">
        <f>+'B) Reajuste Tarifas y Ocupación'!E12</f>
        <v>84300</v>
      </c>
      <c r="K10" s="321">
        <f>+'B) Reajuste Tarifas y Ocupación'!F12</f>
        <v>120400</v>
      </c>
      <c r="L10" s="325">
        <f>+'B) Reajuste Tarifas y Ocupación'!G12</f>
        <v>177100</v>
      </c>
      <c r="M10" s="268">
        <f t="shared" ref="M10:Q11" si="0">C10-H10</f>
        <v>0</v>
      </c>
      <c r="N10" s="265">
        <f t="shared" si="0"/>
        <v>0</v>
      </c>
      <c r="O10" s="265">
        <f t="shared" si="0"/>
        <v>0</v>
      </c>
      <c r="P10" s="265">
        <f t="shared" si="0"/>
        <v>0</v>
      </c>
      <c r="Q10" s="332">
        <f t="shared" si="0"/>
        <v>0</v>
      </c>
      <c r="R10" s="336">
        <f>+'B) Reajuste Tarifas y Ocupación'!H12</f>
        <v>0</v>
      </c>
      <c r="S10" s="337">
        <f>+'B) Reajuste Tarifas y Ocupación'!I12</f>
        <v>0</v>
      </c>
      <c r="T10" s="337">
        <f>+'B) Reajuste Tarifas y Ocupación'!J12</f>
        <v>0</v>
      </c>
      <c r="U10" s="337">
        <f>+'B) Reajuste Tarifas y Ocupación'!K12</f>
        <v>0</v>
      </c>
      <c r="V10" s="338">
        <f>+'B) Reajuste Tarifas y Ocupación'!L12</f>
        <v>0</v>
      </c>
    </row>
    <row r="11" spans="1:245" s="10" customFormat="1" x14ac:dyDescent="0.2">
      <c r="A11" s="872"/>
      <c r="B11" s="306" t="str">
        <f>+'B) Reajuste Tarifas y Ocupación'!B13</f>
        <v>Media jornada Extendida</v>
      </c>
      <c r="C11" s="312">
        <f>+'B) Reajuste Tarifas y Ocupación'!M13</f>
        <v>100400</v>
      </c>
      <c r="D11" s="308">
        <f>+'B) Reajuste Tarifas y Ocupación'!N13</f>
        <v>120500</v>
      </c>
      <c r="E11" s="308">
        <f>+'B) Reajuste Tarifas y Ocupación'!O13</f>
        <v>120500</v>
      </c>
      <c r="F11" s="308">
        <f>+'B) Reajuste Tarifas y Ocupación'!P13</f>
        <v>163700</v>
      </c>
      <c r="G11" s="318">
        <f>+'B) Reajuste Tarifas y Ocupación'!Q13</f>
        <v>255400</v>
      </c>
      <c r="H11" s="322">
        <f>+'B) Reajuste Tarifas y Ocupación'!C13</f>
        <v>100400</v>
      </c>
      <c r="I11" s="319">
        <f>+'B) Reajuste Tarifas y Ocupación'!D13</f>
        <v>120500</v>
      </c>
      <c r="J11" s="319">
        <f>+'B) Reajuste Tarifas y Ocupación'!E13</f>
        <v>120500</v>
      </c>
      <c r="K11" s="319">
        <f>+'B) Reajuste Tarifas y Ocupación'!F13</f>
        <v>163700</v>
      </c>
      <c r="L11" s="326">
        <f>+'B) Reajuste Tarifas y Ocupación'!G13</f>
        <v>255400</v>
      </c>
      <c r="M11" s="329">
        <f t="shared" si="0"/>
        <v>0</v>
      </c>
      <c r="N11" s="328">
        <f t="shared" si="0"/>
        <v>0</v>
      </c>
      <c r="O11" s="328">
        <f t="shared" si="0"/>
        <v>0</v>
      </c>
      <c r="P11" s="328">
        <f t="shared" si="0"/>
        <v>0</v>
      </c>
      <c r="Q11" s="333">
        <f t="shared" si="0"/>
        <v>0</v>
      </c>
      <c r="R11" s="339">
        <f>+'B) Reajuste Tarifas y Ocupación'!H13</f>
        <v>0</v>
      </c>
      <c r="S11" s="335">
        <f>+'B) Reajuste Tarifas y Ocupación'!I13</f>
        <v>0</v>
      </c>
      <c r="T11" s="335">
        <f>+'B) Reajuste Tarifas y Ocupación'!J13</f>
        <v>0</v>
      </c>
      <c r="U11" s="335">
        <f>+'B) Reajuste Tarifas y Ocupación'!K13</f>
        <v>0</v>
      </c>
      <c r="V11" s="340">
        <f>+'B) Reajuste Tarifas y Ocupación'!L13</f>
        <v>0</v>
      </c>
    </row>
    <row r="12" spans="1:245" s="10" customFormat="1" ht="13.5" thickBot="1" x14ac:dyDescent="0.25">
      <c r="A12" s="873"/>
      <c r="B12" s="307" t="str">
        <f>+'B) Reajuste Tarifas y Ocupación'!B14</f>
        <v>Jornada Completa</v>
      </c>
      <c r="C12" s="314">
        <f>+'B) Reajuste Tarifas y Ocupación'!M14</f>
        <v>117100</v>
      </c>
      <c r="D12" s="315">
        <f>+'B) Reajuste Tarifas y Ocupación'!N14</f>
        <v>140600</v>
      </c>
      <c r="E12" s="315">
        <f>+'B) Reajuste Tarifas y Ocupación'!O14</f>
        <v>140600</v>
      </c>
      <c r="F12" s="315">
        <f>+'B) Reajuste Tarifas y Ocupación'!P14</f>
        <v>197000</v>
      </c>
      <c r="G12" s="151">
        <f>+'B) Reajuste Tarifas y Ocupación'!Q14</f>
        <v>313100</v>
      </c>
      <c r="H12" s="323">
        <f>+'B) Reajuste Tarifas y Ocupación'!C14</f>
        <v>117100</v>
      </c>
      <c r="I12" s="324">
        <f>+'B) Reajuste Tarifas y Ocupación'!D14</f>
        <v>140500</v>
      </c>
      <c r="J12" s="324">
        <f>+'B) Reajuste Tarifas y Ocupación'!E14</f>
        <v>140500</v>
      </c>
      <c r="K12" s="324">
        <f>+'B) Reajuste Tarifas y Ocupación'!F14</f>
        <v>197000</v>
      </c>
      <c r="L12" s="327">
        <f>+'B) Reajuste Tarifas y Ocupación'!G14</f>
        <v>313100</v>
      </c>
      <c r="M12" s="330">
        <f t="shared" ref="M12" si="1">C12-H12</f>
        <v>0</v>
      </c>
      <c r="N12" s="331">
        <f t="shared" ref="N12" si="2">D12-I12</f>
        <v>100</v>
      </c>
      <c r="O12" s="331">
        <f t="shared" ref="O12" si="3">E12-J12</f>
        <v>100</v>
      </c>
      <c r="P12" s="331">
        <f t="shared" ref="P12" si="4">F12-K12</f>
        <v>0</v>
      </c>
      <c r="Q12" s="334">
        <f t="shared" ref="Q12" si="5">G12-L12</f>
        <v>0</v>
      </c>
      <c r="R12" s="341">
        <f>+'B) Reajuste Tarifas y Ocupación'!H14</f>
        <v>0</v>
      </c>
      <c r="S12" s="342">
        <f>+'B) Reajuste Tarifas y Ocupación'!I14</f>
        <v>0</v>
      </c>
      <c r="T12" s="342">
        <f>+'B) Reajuste Tarifas y Ocupación'!J14</f>
        <v>0</v>
      </c>
      <c r="U12" s="342">
        <f>+'B) Reajuste Tarifas y Ocupación'!K14</f>
        <v>0</v>
      </c>
      <c r="V12" s="343">
        <f>+'B) Reajuste Tarifas y Ocupación'!L14</f>
        <v>0</v>
      </c>
    </row>
    <row r="13" spans="1:245" x14ac:dyDescent="0.2">
      <c r="A13" s="868" t="str">
        <f>+'B) Reajuste Tarifas y Ocupación'!A15</f>
        <v>Sala Cuna Pequeños Héroes</v>
      </c>
      <c r="B13" s="305" t="str">
        <f>+'B) Reajuste Tarifas y Ocupación'!B15</f>
        <v>Diurna</v>
      </c>
      <c r="C13" s="309">
        <f>+'B) Reajuste Tarifas y Ocupación'!M15</f>
        <v>310000</v>
      </c>
      <c r="D13" s="310">
        <f>+'B) Reajuste Tarifas y Ocupación'!N15</f>
        <v>372000</v>
      </c>
      <c r="E13" s="310">
        <f>+'B) Reajuste Tarifas y Ocupación'!O15</f>
        <v>372000</v>
      </c>
      <c r="F13" s="310">
        <f>+'B) Reajuste Tarifas y Ocupación'!P15</f>
        <v>387500</v>
      </c>
      <c r="G13" s="317">
        <f>+'B) Reajuste Tarifas y Ocupación'!Q15</f>
        <v>465000</v>
      </c>
      <c r="H13" s="460"/>
      <c r="I13" s="461"/>
      <c r="J13" s="461"/>
      <c r="K13" s="461"/>
      <c r="L13" s="462"/>
      <c r="M13" s="463"/>
      <c r="N13" s="464"/>
      <c r="O13" s="464"/>
      <c r="P13" s="464"/>
      <c r="Q13" s="465"/>
      <c r="R13" s="466"/>
      <c r="S13" s="467"/>
      <c r="T13" s="467"/>
      <c r="U13" s="467"/>
      <c r="V13" s="468"/>
    </row>
    <row r="14" spans="1:245" x14ac:dyDescent="0.2">
      <c r="A14" s="869"/>
      <c r="B14" s="306" t="str">
        <f>+'B) Reajuste Tarifas y Ocupación'!B16</f>
        <v>Nocturna</v>
      </c>
      <c r="C14" s="662"/>
      <c r="D14" s="663"/>
      <c r="E14" s="663"/>
      <c r="F14" s="663"/>
      <c r="G14" s="664"/>
      <c r="H14" s="469"/>
      <c r="I14" s="470"/>
      <c r="J14" s="470"/>
      <c r="K14" s="470"/>
      <c r="L14" s="471"/>
      <c r="M14" s="472"/>
      <c r="N14" s="473"/>
      <c r="O14" s="473"/>
      <c r="P14" s="473"/>
      <c r="Q14" s="474"/>
      <c r="R14" s="475"/>
      <c r="S14" s="476"/>
      <c r="T14" s="476"/>
      <c r="U14" s="476"/>
      <c r="V14" s="477"/>
    </row>
    <row r="15" spans="1:245" ht="13.5" thickBot="1" x14ac:dyDescent="0.25">
      <c r="A15" s="870"/>
      <c r="B15" s="307" t="str">
        <f>+'B) Reajuste Tarifas y Ocupación'!B17</f>
        <v>Media Jornada</v>
      </c>
      <c r="C15" s="447">
        <f>+'B) Reajuste Tarifas y Ocupación'!M17</f>
        <v>0</v>
      </c>
      <c r="D15" s="448">
        <f>+'B) Reajuste Tarifas y Ocupación'!N17</f>
        <v>0</v>
      </c>
      <c r="E15" s="448">
        <f>+'B) Reajuste Tarifas y Ocupación'!O17</f>
        <v>0</v>
      </c>
      <c r="F15" s="448">
        <f>+'B) Reajuste Tarifas y Ocupación'!P17</f>
        <v>0</v>
      </c>
      <c r="G15" s="450">
        <f>+'B) Reajuste Tarifas y Ocupación'!Q17</f>
        <v>0</v>
      </c>
      <c r="H15" s="478"/>
      <c r="I15" s="479"/>
      <c r="J15" s="479"/>
      <c r="K15" s="479"/>
      <c r="L15" s="480"/>
      <c r="M15" s="481"/>
      <c r="N15" s="482"/>
      <c r="O15" s="482"/>
      <c r="P15" s="482"/>
      <c r="Q15" s="483"/>
      <c r="R15" s="484"/>
      <c r="S15" s="485"/>
      <c r="T15" s="485"/>
      <c r="U15" s="485"/>
      <c r="V15" s="486"/>
    </row>
  </sheetData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topLeftCell="A6" zoomScale="85" zoomScaleNormal="85" workbookViewId="0">
      <selection activeCell="E19" sqref="E19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2" width="19.14062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206</v>
      </c>
      <c r="F1" s="41"/>
      <c r="G1" s="41"/>
      <c r="H1" s="41"/>
      <c r="I1" s="41"/>
      <c r="J1" s="7"/>
      <c r="K1" s="7"/>
      <c r="IM1" s="4"/>
      <c r="IN1" s="4"/>
    </row>
    <row r="2" spans="2:259" s="6" customFormat="1" x14ac:dyDescent="0.2">
      <c r="E2" s="41" t="s">
        <v>198</v>
      </c>
      <c r="F2" s="41"/>
      <c r="G2" s="41"/>
      <c r="H2" s="41"/>
      <c r="I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97" t="s">
        <v>0</v>
      </c>
      <c r="E4" s="164" t="str">
        <f>+'B) Reajuste Tarifas y Ocupación'!F5</f>
        <v>BIENIQUE</v>
      </c>
      <c r="F4" s="55"/>
      <c r="G4" s="56"/>
      <c r="H4" s="56"/>
      <c r="I4" s="56"/>
      <c r="J4" s="5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98"/>
      <c r="E5" s="101"/>
      <c r="F5" s="101"/>
      <c r="G5" s="101"/>
      <c r="H5" s="101"/>
      <c r="I5" s="101"/>
      <c r="J5" s="101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98"/>
      <c r="E6" s="101"/>
      <c r="F6" s="101"/>
      <c r="G6" s="101"/>
      <c r="H6" s="101"/>
      <c r="I6" s="101"/>
      <c r="J6" s="101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67" t="s">
        <v>160</v>
      </c>
      <c r="C7" s="767"/>
      <c r="D7" s="767"/>
      <c r="E7" s="767"/>
      <c r="F7" s="99"/>
      <c r="G7" s="99"/>
      <c r="H7" s="99"/>
      <c r="I7" s="99"/>
      <c r="J7" s="101"/>
      <c r="K7" s="57" t="s">
        <v>4</v>
      </c>
      <c r="L7" s="58">
        <v>0.03</v>
      </c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856" t="s">
        <v>113</v>
      </c>
      <c r="C9" s="915" t="s">
        <v>73</v>
      </c>
      <c r="D9" s="860" t="s">
        <v>74</v>
      </c>
      <c r="E9" s="862" t="s">
        <v>3</v>
      </c>
      <c r="F9" s="912" t="s">
        <v>81</v>
      </c>
      <c r="G9" s="900" t="s">
        <v>220</v>
      </c>
      <c r="H9" s="901"/>
      <c r="I9" s="901"/>
      <c r="J9" s="902"/>
      <c r="K9" s="903" t="s">
        <v>223</v>
      </c>
      <c r="L9" s="905" t="s">
        <v>114</v>
      </c>
      <c r="O9" s="27"/>
      <c r="P9" s="27"/>
      <c r="Q9" s="27"/>
      <c r="R9" s="27"/>
      <c r="S9" s="27"/>
      <c r="T9" s="27"/>
    </row>
    <row r="10" spans="2:259" ht="39" thickBot="1" x14ac:dyDescent="0.25">
      <c r="B10" s="914"/>
      <c r="C10" s="916"/>
      <c r="D10" s="917"/>
      <c r="E10" s="918"/>
      <c r="F10" s="913"/>
      <c r="G10" s="417" t="s">
        <v>221</v>
      </c>
      <c r="H10" s="59" t="s">
        <v>115</v>
      </c>
      <c r="I10" s="59" t="s">
        <v>116</v>
      </c>
      <c r="J10" s="212" t="s">
        <v>222</v>
      </c>
      <c r="K10" s="904"/>
      <c r="L10" s="906"/>
      <c r="M10" s="29"/>
      <c r="N10" s="49"/>
      <c r="O10" s="49"/>
      <c r="P10" s="20"/>
      <c r="Q10" s="20"/>
      <c r="R10" s="20"/>
      <c r="S10" s="29"/>
      <c r="T10" s="907"/>
      <c r="U10" s="907"/>
      <c r="V10" s="907"/>
      <c r="W10" s="907"/>
      <c r="X10" s="29"/>
    </row>
    <row r="11" spans="2:259" s="2" customFormat="1" ht="13.5" thickBot="1" x14ac:dyDescent="0.25">
      <c r="B11" s="908" t="str">
        <f>+'B) Reajuste Tarifas y Ocupación'!A12</f>
        <v>Jardín Infantil Pequeños Héroes</v>
      </c>
      <c r="C11" s="534" t="s">
        <v>131</v>
      </c>
      <c r="D11" s="453" t="s">
        <v>131</v>
      </c>
      <c r="E11" s="453" t="s">
        <v>136</v>
      </c>
      <c r="F11" s="535" t="s">
        <v>237</v>
      </c>
      <c r="G11" s="530">
        <v>10429575</v>
      </c>
      <c r="H11" s="213">
        <v>318217</v>
      </c>
      <c r="I11" s="213">
        <v>121504</v>
      </c>
      <c r="J11" s="214">
        <f>SUM(G11:I11)</f>
        <v>10869296</v>
      </c>
      <c r="K11" s="216">
        <f>+J11*(1+$L$7)</f>
        <v>11195374.880000001</v>
      </c>
      <c r="L11" s="910">
        <f>SUM(K11:K22)</f>
        <v>50995022.93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ht="13.5" thickBot="1" x14ac:dyDescent="0.25">
      <c r="B12" s="909"/>
      <c r="C12" s="536" t="s">
        <v>254</v>
      </c>
      <c r="D12" s="537" t="s">
        <v>255</v>
      </c>
      <c r="E12" s="537" t="s">
        <v>259</v>
      </c>
      <c r="F12" s="535" t="s">
        <v>237</v>
      </c>
      <c r="G12" s="531">
        <v>5555888</v>
      </c>
      <c r="H12" s="165">
        <v>318217</v>
      </c>
      <c r="I12" s="165">
        <v>123822</v>
      </c>
      <c r="J12" s="215">
        <f t="shared" ref="J12:J17" si="0">SUM(G12:I12)</f>
        <v>5997927</v>
      </c>
      <c r="K12" s="217">
        <f t="shared" ref="K12:K17" si="1">+J12*(1+$L$7)</f>
        <v>6177864.8100000005</v>
      </c>
      <c r="L12" s="911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ht="13.5" thickBot="1" x14ac:dyDescent="0.25">
      <c r="B13" s="909"/>
      <c r="C13" s="536" t="s">
        <v>256</v>
      </c>
      <c r="D13" s="537" t="s">
        <v>257</v>
      </c>
      <c r="E13" s="537" t="s">
        <v>259</v>
      </c>
      <c r="F13" s="535" t="s">
        <v>237</v>
      </c>
      <c r="G13" s="531">
        <v>4874700</v>
      </c>
      <c r="H13" s="165">
        <v>318217</v>
      </c>
      <c r="I13" s="165">
        <v>123822</v>
      </c>
      <c r="J13" s="215">
        <f t="shared" si="0"/>
        <v>5316739</v>
      </c>
      <c r="K13" s="217">
        <f t="shared" si="1"/>
        <v>5476241.1699999999</v>
      </c>
      <c r="L13" s="911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ht="13.5" thickBot="1" x14ac:dyDescent="0.25">
      <c r="B14" s="909"/>
      <c r="C14" s="536" t="s">
        <v>260</v>
      </c>
      <c r="D14" s="537" t="s">
        <v>261</v>
      </c>
      <c r="E14" s="537" t="s">
        <v>259</v>
      </c>
      <c r="F14" s="535" t="s">
        <v>237</v>
      </c>
      <c r="G14" s="531">
        <v>5346571</v>
      </c>
      <c r="H14" s="165">
        <v>318217</v>
      </c>
      <c r="I14" s="165">
        <v>123822</v>
      </c>
      <c r="J14" s="215">
        <f t="shared" si="0"/>
        <v>5788610</v>
      </c>
      <c r="K14" s="217">
        <f t="shared" si="1"/>
        <v>5962268.2999999998</v>
      </c>
      <c r="L14" s="911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ht="13.5" thickBot="1" x14ac:dyDescent="0.25">
      <c r="B15" s="909"/>
      <c r="C15" s="536" t="s">
        <v>251</v>
      </c>
      <c r="D15" s="537" t="s">
        <v>131</v>
      </c>
      <c r="E15" s="537" t="s">
        <v>259</v>
      </c>
      <c r="F15" s="535" t="s">
        <v>237</v>
      </c>
      <c r="G15" s="531">
        <v>4740320</v>
      </c>
      <c r="H15" s="165">
        <v>318217</v>
      </c>
      <c r="I15" s="165">
        <v>123822</v>
      </c>
      <c r="J15" s="215">
        <f t="shared" si="0"/>
        <v>5182359</v>
      </c>
      <c r="K15" s="217">
        <f t="shared" si="1"/>
        <v>5337829.7700000005</v>
      </c>
      <c r="L15" s="911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09"/>
      <c r="C16" s="536"/>
      <c r="D16" s="537"/>
      <c r="E16" s="537" t="s">
        <v>252</v>
      </c>
      <c r="F16" s="535" t="s">
        <v>237</v>
      </c>
      <c r="G16" s="531"/>
      <c r="H16" s="165"/>
      <c r="I16" s="165"/>
      <c r="J16" s="215">
        <f t="shared" si="0"/>
        <v>0</v>
      </c>
      <c r="K16" s="217">
        <f t="shared" si="1"/>
        <v>0</v>
      </c>
      <c r="L16" s="911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ht="13.5" thickBot="1" x14ac:dyDescent="0.25">
      <c r="B17" s="909"/>
      <c r="C17" s="536" t="s">
        <v>262</v>
      </c>
      <c r="D17" s="537" t="s">
        <v>266</v>
      </c>
      <c r="E17" s="537" t="s">
        <v>252</v>
      </c>
      <c r="F17" s="538" t="s">
        <v>237</v>
      </c>
      <c r="G17" s="531">
        <v>5023515</v>
      </c>
      <c r="H17" s="165">
        <v>318217</v>
      </c>
      <c r="I17" s="165">
        <v>123822</v>
      </c>
      <c r="J17" s="215">
        <f t="shared" si="0"/>
        <v>5465554</v>
      </c>
      <c r="K17" s="217">
        <f t="shared" si="1"/>
        <v>5629520.6200000001</v>
      </c>
      <c r="L17" s="911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ht="13.5" thickBot="1" x14ac:dyDescent="0.25">
      <c r="B18" s="909"/>
      <c r="C18" s="536" t="s">
        <v>264</v>
      </c>
      <c r="D18" s="537" t="s">
        <v>267</v>
      </c>
      <c r="E18" s="537" t="s">
        <v>258</v>
      </c>
      <c r="F18" s="535" t="s">
        <v>237</v>
      </c>
      <c r="G18" s="531">
        <v>5267792</v>
      </c>
      <c r="H18" s="165">
        <v>318217</v>
      </c>
      <c r="I18" s="165">
        <v>120878</v>
      </c>
      <c r="J18" s="215">
        <f>SUM(G18:I18)</f>
        <v>5706887</v>
      </c>
      <c r="K18" s="217">
        <f>+J18*(1+$L$7)</f>
        <v>5878093.6100000003</v>
      </c>
      <c r="L18" s="911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09"/>
      <c r="C19" s="536" t="s">
        <v>251</v>
      </c>
      <c r="D19" s="537" t="s">
        <v>131</v>
      </c>
      <c r="E19" s="537" t="s">
        <v>259</v>
      </c>
      <c r="F19" s="535" t="s">
        <v>237</v>
      </c>
      <c r="G19" s="531">
        <v>4740320</v>
      </c>
      <c r="H19" s="165">
        <v>318217</v>
      </c>
      <c r="I19" s="165">
        <v>123822</v>
      </c>
      <c r="J19" s="215">
        <f t="shared" ref="J19:J22" si="2">SUM(G19:I19)</f>
        <v>5182359</v>
      </c>
      <c r="K19" s="217">
        <f t="shared" ref="K19:K22" si="3">+J19*(1+$L$7)</f>
        <v>5337829.7700000005</v>
      </c>
      <c r="L19" s="911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09"/>
      <c r="C20" s="536"/>
      <c r="D20" s="537"/>
      <c r="E20" s="537"/>
      <c r="F20" s="538"/>
      <c r="G20" s="531">
        <v>0</v>
      </c>
      <c r="H20" s="165">
        <v>0</v>
      </c>
      <c r="I20" s="165">
        <v>0</v>
      </c>
      <c r="J20" s="215">
        <f t="shared" si="2"/>
        <v>0</v>
      </c>
      <c r="K20" s="217">
        <f t="shared" si="3"/>
        <v>0</v>
      </c>
      <c r="L20" s="911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09"/>
      <c r="C21" s="536"/>
      <c r="D21" s="537"/>
      <c r="E21" s="537"/>
      <c r="F21" s="538"/>
      <c r="G21" s="531">
        <v>0</v>
      </c>
      <c r="H21" s="165">
        <v>0</v>
      </c>
      <c r="I21" s="165">
        <v>0</v>
      </c>
      <c r="J21" s="215">
        <f t="shared" si="2"/>
        <v>0</v>
      </c>
      <c r="K21" s="217">
        <f t="shared" si="3"/>
        <v>0</v>
      </c>
      <c r="L21" s="911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909"/>
      <c r="C22" s="457"/>
      <c r="D22" s="539"/>
      <c r="E22" s="539"/>
      <c r="F22" s="416"/>
      <c r="G22" s="532">
        <v>0</v>
      </c>
      <c r="H22" s="412">
        <v>0</v>
      </c>
      <c r="I22" s="412">
        <v>0</v>
      </c>
      <c r="J22" s="413">
        <f t="shared" si="2"/>
        <v>0</v>
      </c>
      <c r="K22" s="414">
        <f t="shared" si="3"/>
        <v>0</v>
      </c>
      <c r="L22" s="898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436" customFormat="1" ht="12.75" customHeight="1" x14ac:dyDescent="0.2">
      <c r="B23" s="894" t="str">
        <f>+'B) Reajuste Tarifas y Ocupación'!A15</f>
        <v>Sala Cuna Pequeños Héroes</v>
      </c>
      <c r="C23" s="540" t="s">
        <v>248</v>
      </c>
      <c r="D23" s="541" t="s">
        <v>249</v>
      </c>
      <c r="E23" s="541" t="s">
        <v>250</v>
      </c>
      <c r="F23" s="542" t="s">
        <v>247</v>
      </c>
      <c r="G23" s="530">
        <v>10429575</v>
      </c>
      <c r="H23" s="213">
        <v>318217</v>
      </c>
      <c r="I23" s="213">
        <v>121504</v>
      </c>
      <c r="J23" s="214">
        <f>SUM(G23:I23)</f>
        <v>10869296</v>
      </c>
      <c r="K23" s="216">
        <f>+J23*(1+$L$7)</f>
        <v>11195374.880000001</v>
      </c>
      <c r="L23" s="897">
        <f>SUM(K23:K30)</f>
        <v>27183996.900000002</v>
      </c>
      <c r="M23" s="440"/>
      <c r="N23" s="444"/>
      <c r="O23" s="444"/>
      <c r="P23" s="439"/>
      <c r="Q23" s="439"/>
      <c r="R23" s="439"/>
      <c r="S23" s="442"/>
      <c r="T23" s="441"/>
      <c r="U23" s="441"/>
      <c r="V23" s="441"/>
      <c r="W23" s="441"/>
      <c r="X23" s="443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437"/>
      <c r="EQ23" s="437"/>
      <c r="ER23" s="437"/>
      <c r="ES23" s="437"/>
      <c r="ET23" s="437"/>
      <c r="EU23" s="437"/>
      <c r="EV23" s="437"/>
      <c r="EW23" s="437"/>
      <c r="EX23" s="437"/>
      <c r="EY23" s="437"/>
      <c r="EZ23" s="437"/>
      <c r="FA23" s="437"/>
      <c r="FB23" s="437"/>
      <c r="FC23" s="437"/>
      <c r="FD23" s="437"/>
      <c r="FE23" s="437"/>
      <c r="FF23" s="437"/>
      <c r="FG23" s="437"/>
      <c r="FH23" s="437"/>
      <c r="FI23" s="437"/>
      <c r="FJ23" s="437"/>
      <c r="FK23" s="437"/>
      <c r="FL23" s="437"/>
      <c r="FM23" s="437"/>
      <c r="FN23" s="437"/>
      <c r="FO23" s="437"/>
      <c r="FP23" s="437"/>
      <c r="FQ23" s="437"/>
      <c r="FR23" s="437"/>
      <c r="FS23" s="437"/>
      <c r="FT23" s="437"/>
      <c r="FU23" s="437"/>
      <c r="FV23" s="437"/>
      <c r="FW23" s="437"/>
      <c r="FX23" s="437"/>
      <c r="FY23" s="437"/>
      <c r="FZ23" s="437"/>
      <c r="GA23" s="437"/>
      <c r="GB23" s="437"/>
      <c r="GC23" s="437"/>
      <c r="GD23" s="437"/>
      <c r="GE23" s="437"/>
      <c r="GF23" s="437"/>
      <c r="GG23" s="437"/>
      <c r="GH23" s="437"/>
      <c r="GI23" s="437"/>
      <c r="GJ23" s="437"/>
      <c r="GK23" s="437"/>
      <c r="GL23" s="437"/>
      <c r="GM23" s="437"/>
      <c r="GN23" s="437"/>
      <c r="GO23" s="437"/>
      <c r="GP23" s="437"/>
      <c r="GQ23" s="437"/>
      <c r="GR23" s="437"/>
      <c r="GS23" s="437"/>
      <c r="GT23" s="437"/>
      <c r="GU23" s="437"/>
      <c r="GV23" s="437"/>
      <c r="GW23" s="437"/>
      <c r="GX23" s="437"/>
      <c r="GY23" s="437"/>
      <c r="GZ23" s="437"/>
      <c r="HA23" s="437"/>
      <c r="HB23" s="437"/>
      <c r="HC23" s="437"/>
      <c r="HD23" s="437"/>
      <c r="HE23" s="437"/>
      <c r="HF23" s="437"/>
      <c r="HG23" s="437"/>
      <c r="HH23" s="437"/>
      <c r="HI23" s="437"/>
      <c r="HJ23" s="437"/>
      <c r="HK23" s="437"/>
      <c r="HL23" s="437"/>
      <c r="HM23" s="437"/>
      <c r="HN23" s="437"/>
      <c r="HO23" s="437"/>
      <c r="HP23" s="437"/>
      <c r="HQ23" s="437"/>
      <c r="HR23" s="437"/>
      <c r="HS23" s="437"/>
      <c r="HT23" s="437"/>
      <c r="HU23" s="437"/>
      <c r="HV23" s="437"/>
      <c r="HW23" s="437"/>
      <c r="HX23" s="437"/>
      <c r="HY23" s="437"/>
      <c r="HZ23" s="437"/>
      <c r="IA23" s="437"/>
      <c r="IB23" s="437"/>
      <c r="IC23" s="437"/>
      <c r="ID23" s="437"/>
      <c r="IE23" s="437"/>
      <c r="IF23" s="437"/>
      <c r="IG23" s="437"/>
      <c r="IH23" s="437"/>
      <c r="II23" s="437"/>
      <c r="IJ23" s="437"/>
      <c r="IK23" s="437"/>
      <c r="IL23" s="437"/>
      <c r="IM23" s="437"/>
      <c r="IN23" s="437"/>
      <c r="IO23" s="437"/>
      <c r="IP23" s="437"/>
      <c r="IQ23" s="437"/>
      <c r="IR23" s="437"/>
      <c r="IS23" s="437"/>
      <c r="IT23" s="437"/>
      <c r="IU23" s="437"/>
      <c r="IV23" s="437"/>
      <c r="IW23" s="437"/>
      <c r="IX23" s="437"/>
      <c r="IY23" s="437"/>
    </row>
    <row r="24" spans="2:259" s="436" customFormat="1" ht="12.75" customHeight="1" x14ac:dyDescent="0.2">
      <c r="B24" s="895"/>
      <c r="C24" s="536" t="s">
        <v>251</v>
      </c>
      <c r="D24" s="537" t="s">
        <v>131</v>
      </c>
      <c r="E24" s="537" t="s">
        <v>259</v>
      </c>
      <c r="F24" s="542" t="s">
        <v>247</v>
      </c>
      <c r="G24" s="531">
        <v>4740320</v>
      </c>
      <c r="H24" s="445">
        <v>318217</v>
      </c>
      <c r="I24" s="445">
        <v>123822</v>
      </c>
      <c r="J24" s="454">
        <f t="shared" ref="J24:J29" si="4">SUM(G24:I24)</f>
        <v>5182359</v>
      </c>
      <c r="K24" s="415">
        <f t="shared" ref="K24:K29" si="5">+J24*(1+$L$7)</f>
        <v>5337829.7700000005</v>
      </c>
      <c r="L24" s="898"/>
      <c r="M24" s="440"/>
      <c r="N24" s="444"/>
      <c r="O24" s="444"/>
      <c r="P24" s="439"/>
      <c r="Q24" s="439"/>
      <c r="R24" s="439"/>
      <c r="S24" s="442"/>
      <c r="T24" s="441"/>
      <c r="U24" s="441"/>
      <c r="V24" s="441"/>
      <c r="W24" s="441"/>
      <c r="X24" s="443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437"/>
      <c r="BU24" s="437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37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437"/>
      <c r="EQ24" s="437"/>
      <c r="ER24" s="437"/>
      <c r="ES24" s="437"/>
      <c r="ET24" s="437"/>
      <c r="EU24" s="437"/>
      <c r="EV24" s="437"/>
      <c r="EW24" s="437"/>
      <c r="EX24" s="437"/>
      <c r="EY24" s="437"/>
      <c r="EZ24" s="437"/>
      <c r="FA24" s="437"/>
      <c r="FB24" s="437"/>
      <c r="FC24" s="437"/>
      <c r="FD24" s="437"/>
      <c r="FE24" s="437"/>
      <c r="FF24" s="437"/>
      <c r="FG24" s="437"/>
      <c r="FH24" s="437"/>
      <c r="FI24" s="437"/>
      <c r="FJ24" s="437"/>
      <c r="FK24" s="437"/>
      <c r="FL24" s="437"/>
      <c r="FM24" s="437"/>
      <c r="FN24" s="437"/>
      <c r="FO24" s="437"/>
      <c r="FP24" s="437"/>
      <c r="FQ24" s="437"/>
      <c r="FR24" s="437"/>
      <c r="FS24" s="437"/>
      <c r="FT24" s="437"/>
      <c r="FU24" s="437"/>
      <c r="FV24" s="437"/>
      <c r="FW24" s="437"/>
      <c r="FX24" s="437"/>
      <c r="FY24" s="437"/>
      <c r="FZ24" s="437"/>
      <c r="GA24" s="437"/>
      <c r="GB24" s="437"/>
      <c r="GC24" s="437"/>
      <c r="GD24" s="437"/>
      <c r="GE24" s="437"/>
      <c r="GF24" s="437"/>
      <c r="GG24" s="437"/>
      <c r="GH24" s="437"/>
      <c r="GI24" s="437"/>
      <c r="GJ24" s="437"/>
      <c r="GK24" s="437"/>
      <c r="GL24" s="437"/>
      <c r="GM24" s="437"/>
      <c r="GN24" s="437"/>
      <c r="GO24" s="437"/>
      <c r="GP24" s="437"/>
      <c r="GQ24" s="437"/>
      <c r="GR24" s="437"/>
      <c r="GS24" s="437"/>
      <c r="GT24" s="437"/>
      <c r="GU24" s="437"/>
      <c r="GV24" s="437"/>
      <c r="GW24" s="437"/>
      <c r="GX24" s="437"/>
      <c r="GY24" s="437"/>
      <c r="GZ24" s="437"/>
      <c r="HA24" s="437"/>
      <c r="HB24" s="437"/>
      <c r="HC24" s="437"/>
      <c r="HD24" s="437"/>
      <c r="HE24" s="437"/>
      <c r="HF24" s="437"/>
      <c r="HG24" s="437"/>
      <c r="HH24" s="437"/>
      <c r="HI24" s="437"/>
      <c r="HJ24" s="437"/>
      <c r="HK24" s="437"/>
      <c r="HL24" s="437"/>
      <c r="HM24" s="437"/>
      <c r="HN24" s="437"/>
      <c r="HO24" s="437"/>
      <c r="HP24" s="437"/>
      <c r="HQ24" s="437"/>
      <c r="HR24" s="437"/>
      <c r="HS24" s="437"/>
      <c r="HT24" s="437"/>
      <c r="HU24" s="437"/>
      <c r="HV24" s="437"/>
      <c r="HW24" s="437"/>
      <c r="HX24" s="437"/>
      <c r="HY24" s="437"/>
      <c r="HZ24" s="437"/>
      <c r="IA24" s="437"/>
      <c r="IB24" s="437"/>
      <c r="IC24" s="437"/>
      <c r="ID24" s="437"/>
      <c r="IE24" s="437"/>
      <c r="IF24" s="437"/>
      <c r="IG24" s="437"/>
      <c r="IH24" s="437"/>
      <c r="II24" s="437"/>
      <c r="IJ24" s="437"/>
      <c r="IK24" s="437"/>
      <c r="IL24" s="437"/>
      <c r="IM24" s="437"/>
      <c r="IN24" s="437"/>
      <c r="IO24" s="437"/>
      <c r="IP24" s="437"/>
      <c r="IQ24" s="437"/>
      <c r="IR24" s="437"/>
      <c r="IS24" s="437"/>
      <c r="IT24" s="437"/>
      <c r="IU24" s="437"/>
      <c r="IV24" s="437"/>
      <c r="IW24" s="437"/>
      <c r="IX24" s="437"/>
      <c r="IY24" s="437"/>
    </row>
    <row r="25" spans="2:259" s="436" customFormat="1" ht="12.75" customHeight="1" x14ac:dyDescent="0.2">
      <c r="B25" s="895"/>
      <c r="C25" s="536" t="s">
        <v>251</v>
      </c>
      <c r="D25" s="537" t="s">
        <v>131</v>
      </c>
      <c r="E25" s="537" t="s">
        <v>259</v>
      </c>
      <c r="F25" s="542" t="s">
        <v>247</v>
      </c>
      <c r="G25" s="531">
        <v>4740320</v>
      </c>
      <c r="H25" s="445">
        <v>318217</v>
      </c>
      <c r="I25" s="445">
        <v>123822</v>
      </c>
      <c r="J25" s="454">
        <f t="shared" si="4"/>
        <v>5182359</v>
      </c>
      <c r="K25" s="415">
        <f t="shared" si="5"/>
        <v>5337829.7700000005</v>
      </c>
      <c r="L25" s="898"/>
      <c r="M25" s="440"/>
      <c r="N25" s="444"/>
      <c r="O25" s="444"/>
      <c r="P25" s="439"/>
      <c r="Q25" s="439"/>
      <c r="R25" s="439"/>
      <c r="S25" s="442"/>
      <c r="T25" s="441"/>
      <c r="U25" s="441"/>
      <c r="V25" s="441"/>
      <c r="W25" s="441"/>
      <c r="X25" s="443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437"/>
      <c r="BU25" s="437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7"/>
      <c r="DA25" s="437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437"/>
      <c r="EQ25" s="437"/>
      <c r="ER25" s="437"/>
      <c r="ES25" s="437"/>
      <c r="ET25" s="437"/>
      <c r="EU25" s="437"/>
      <c r="EV25" s="437"/>
      <c r="EW25" s="437"/>
      <c r="EX25" s="437"/>
      <c r="EY25" s="437"/>
      <c r="EZ25" s="437"/>
      <c r="FA25" s="437"/>
      <c r="FB25" s="437"/>
      <c r="FC25" s="437"/>
      <c r="FD25" s="437"/>
      <c r="FE25" s="437"/>
      <c r="FF25" s="437"/>
      <c r="FG25" s="437"/>
      <c r="FH25" s="437"/>
      <c r="FI25" s="437"/>
      <c r="FJ25" s="437"/>
      <c r="FK25" s="437"/>
      <c r="FL25" s="437"/>
      <c r="FM25" s="437"/>
      <c r="FN25" s="437"/>
      <c r="FO25" s="437"/>
      <c r="FP25" s="437"/>
      <c r="FQ25" s="437"/>
      <c r="FR25" s="437"/>
      <c r="FS25" s="437"/>
      <c r="FT25" s="437"/>
      <c r="FU25" s="437"/>
      <c r="FV25" s="437"/>
      <c r="FW25" s="437"/>
      <c r="FX25" s="437"/>
      <c r="FY25" s="437"/>
      <c r="FZ25" s="437"/>
      <c r="GA25" s="437"/>
      <c r="GB25" s="437"/>
      <c r="GC25" s="437"/>
      <c r="GD25" s="437"/>
      <c r="GE25" s="437"/>
      <c r="GF25" s="437"/>
      <c r="GG25" s="437"/>
      <c r="GH25" s="437"/>
      <c r="GI25" s="437"/>
      <c r="GJ25" s="437"/>
      <c r="GK25" s="437"/>
      <c r="GL25" s="437"/>
      <c r="GM25" s="437"/>
      <c r="GN25" s="437"/>
      <c r="GO25" s="437"/>
      <c r="GP25" s="437"/>
      <c r="GQ25" s="437"/>
      <c r="GR25" s="437"/>
      <c r="GS25" s="437"/>
      <c r="GT25" s="437"/>
      <c r="GU25" s="437"/>
      <c r="GV25" s="437"/>
      <c r="GW25" s="437"/>
      <c r="GX25" s="437"/>
      <c r="GY25" s="437"/>
      <c r="GZ25" s="437"/>
      <c r="HA25" s="437"/>
      <c r="HB25" s="437"/>
      <c r="HC25" s="437"/>
      <c r="HD25" s="437"/>
      <c r="HE25" s="437"/>
      <c r="HF25" s="437"/>
      <c r="HG25" s="437"/>
      <c r="HH25" s="437"/>
      <c r="HI25" s="437"/>
      <c r="HJ25" s="437"/>
      <c r="HK25" s="437"/>
      <c r="HL25" s="437"/>
      <c r="HM25" s="437"/>
      <c r="HN25" s="437"/>
      <c r="HO25" s="437"/>
      <c r="HP25" s="437"/>
      <c r="HQ25" s="437"/>
      <c r="HR25" s="437"/>
      <c r="HS25" s="437"/>
      <c r="HT25" s="437"/>
      <c r="HU25" s="437"/>
      <c r="HV25" s="437"/>
      <c r="HW25" s="437"/>
      <c r="HX25" s="437"/>
      <c r="HY25" s="437"/>
      <c r="HZ25" s="437"/>
      <c r="IA25" s="437"/>
      <c r="IB25" s="437"/>
      <c r="IC25" s="437"/>
      <c r="ID25" s="437"/>
      <c r="IE25" s="437"/>
      <c r="IF25" s="437"/>
      <c r="IG25" s="437"/>
      <c r="IH25" s="437"/>
      <c r="II25" s="437"/>
      <c r="IJ25" s="437"/>
      <c r="IK25" s="437"/>
      <c r="IL25" s="437"/>
      <c r="IM25" s="437"/>
      <c r="IN25" s="437"/>
      <c r="IO25" s="437"/>
      <c r="IP25" s="437"/>
      <c r="IQ25" s="437"/>
      <c r="IR25" s="437"/>
      <c r="IS25" s="437"/>
      <c r="IT25" s="437"/>
      <c r="IU25" s="437"/>
      <c r="IV25" s="437"/>
      <c r="IW25" s="437"/>
      <c r="IX25" s="437"/>
      <c r="IY25" s="437"/>
    </row>
    <row r="26" spans="2:259" s="436" customFormat="1" ht="12.75" customHeight="1" x14ac:dyDescent="0.2">
      <c r="B26" s="895"/>
      <c r="C26" s="536" t="s">
        <v>263</v>
      </c>
      <c r="D26" s="537" t="s">
        <v>265</v>
      </c>
      <c r="E26" s="537" t="s">
        <v>252</v>
      </c>
      <c r="F26" s="542" t="s">
        <v>247</v>
      </c>
      <c r="G26" s="531">
        <v>4716177</v>
      </c>
      <c r="H26" s="445">
        <v>318217</v>
      </c>
      <c r="I26" s="445">
        <v>123822</v>
      </c>
      <c r="J26" s="454">
        <f t="shared" si="4"/>
        <v>5158216</v>
      </c>
      <c r="K26" s="415">
        <f t="shared" si="5"/>
        <v>5312962.4800000004</v>
      </c>
      <c r="L26" s="898"/>
      <c r="M26" s="440"/>
      <c r="N26" s="444"/>
      <c r="O26" s="444"/>
      <c r="P26" s="439"/>
      <c r="Q26" s="439"/>
      <c r="R26" s="439"/>
      <c r="S26" s="442"/>
      <c r="T26" s="441"/>
      <c r="U26" s="441"/>
      <c r="V26" s="441"/>
      <c r="W26" s="441"/>
      <c r="X26" s="443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7"/>
      <c r="DA26" s="437"/>
      <c r="DB26" s="437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437"/>
      <c r="EQ26" s="437"/>
      <c r="ER26" s="437"/>
      <c r="ES26" s="437"/>
      <c r="ET26" s="437"/>
      <c r="EU26" s="437"/>
      <c r="EV26" s="437"/>
      <c r="EW26" s="437"/>
      <c r="EX26" s="437"/>
      <c r="EY26" s="437"/>
      <c r="EZ26" s="437"/>
      <c r="FA26" s="437"/>
      <c r="FB26" s="437"/>
      <c r="FC26" s="437"/>
      <c r="FD26" s="437"/>
      <c r="FE26" s="437"/>
      <c r="FF26" s="437"/>
      <c r="FG26" s="437"/>
      <c r="FH26" s="437"/>
      <c r="FI26" s="437"/>
      <c r="FJ26" s="437"/>
      <c r="FK26" s="437"/>
      <c r="FL26" s="437"/>
      <c r="FM26" s="437"/>
      <c r="FN26" s="437"/>
      <c r="FO26" s="437"/>
      <c r="FP26" s="437"/>
      <c r="FQ26" s="437"/>
      <c r="FR26" s="437"/>
      <c r="FS26" s="437"/>
      <c r="FT26" s="437"/>
      <c r="FU26" s="437"/>
      <c r="FV26" s="437"/>
      <c r="FW26" s="437"/>
      <c r="FX26" s="437"/>
      <c r="FY26" s="437"/>
      <c r="FZ26" s="437"/>
      <c r="GA26" s="437"/>
      <c r="GB26" s="437"/>
      <c r="GC26" s="437"/>
      <c r="GD26" s="437"/>
      <c r="GE26" s="437"/>
      <c r="GF26" s="437"/>
      <c r="GG26" s="437"/>
      <c r="GH26" s="437"/>
      <c r="GI26" s="437"/>
      <c r="GJ26" s="437"/>
      <c r="GK26" s="437"/>
      <c r="GL26" s="437"/>
      <c r="GM26" s="437"/>
      <c r="GN26" s="437"/>
      <c r="GO26" s="437"/>
      <c r="GP26" s="437"/>
      <c r="GQ26" s="437"/>
      <c r="GR26" s="437"/>
      <c r="GS26" s="437"/>
      <c r="GT26" s="437"/>
      <c r="GU26" s="437"/>
      <c r="GV26" s="437"/>
      <c r="GW26" s="437"/>
      <c r="GX26" s="437"/>
      <c r="GY26" s="437"/>
      <c r="GZ26" s="437"/>
      <c r="HA26" s="437"/>
      <c r="HB26" s="437"/>
      <c r="HC26" s="437"/>
      <c r="HD26" s="437"/>
      <c r="HE26" s="437"/>
      <c r="HF26" s="437"/>
      <c r="HG26" s="437"/>
      <c r="HH26" s="437"/>
      <c r="HI26" s="437"/>
      <c r="HJ26" s="437"/>
      <c r="HK26" s="437"/>
      <c r="HL26" s="437"/>
      <c r="HM26" s="437"/>
      <c r="HN26" s="437"/>
      <c r="HO26" s="437"/>
      <c r="HP26" s="437"/>
      <c r="HQ26" s="437"/>
      <c r="HR26" s="437"/>
      <c r="HS26" s="437"/>
      <c r="HT26" s="437"/>
      <c r="HU26" s="437"/>
      <c r="HV26" s="437"/>
      <c r="HW26" s="437"/>
      <c r="HX26" s="437"/>
      <c r="HY26" s="437"/>
      <c r="HZ26" s="437"/>
      <c r="IA26" s="437"/>
      <c r="IB26" s="437"/>
      <c r="IC26" s="437"/>
      <c r="ID26" s="437"/>
      <c r="IE26" s="437"/>
      <c r="IF26" s="437"/>
      <c r="IG26" s="437"/>
      <c r="IH26" s="437"/>
      <c r="II26" s="437"/>
      <c r="IJ26" s="437"/>
      <c r="IK26" s="437"/>
      <c r="IL26" s="437"/>
      <c r="IM26" s="437"/>
      <c r="IN26" s="437"/>
      <c r="IO26" s="437"/>
      <c r="IP26" s="437"/>
      <c r="IQ26" s="437"/>
      <c r="IR26" s="437"/>
      <c r="IS26" s="437"/>
      <c r="IT26" s="437"/>
      <c r="IU26" s="437"/>
      <c r="IV26" s="437"/>
      <c r="IW26" s="437"/>
      <c r="IX26" s="437"/>
      <c r="IY26" s="437"/>
    </row>
    <row r="27" spans="2:259" s="436" customFormat="1" ht="12.75" customHeight="1" x14ac:dyDescent="0.2">
      <c r="B27" s="895"/>
      <c r="C27" s="536" t="s">
        <v>251</v>
      </c>
      <c r="D27" s="537" t="s">
        <v>268</v>
      </c>
      <c r="E27" s="537" t="s">
        <v>253</v>
      </c>
      <c r="F27" s="542" t="s">
        <v>247</v>
      </c>
      <c r="G27" s="531"/>
      <c r="H27" s="445"/>
      <c r="I27" s="445"/>
      <c r="J27" s="454">
        <f t="shared" si="4"/>
        <v>0</v>
      </c>
      <c r="K27" s="415">
        <f t="shared" si="5"/>
        <v>0</v>
      </c>
      <c r="L27" s="898"/>
      <c r="M27" s="440"/>
      <c r="N27" s="444"/>
      <c r="O27" s="444"/>
      <c r="P27" s="439"/>
      <c r="Q27" s="439"/>
      <c r="R27" s="439"/>
      <c r="S27" s="442"/>
      <c r="T27" s="441"/>
      <c r="U27" s="441"/>
      <c r="V27" s="441"/>
      <c r="W27" s="441"/>
      <c r="X27" s="443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437"/>
      <c r="DB27" s="437"/>
      <c r="DC27" s="437"/>
      <c r="DD27" s="437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437"/>
      <c r="EQ27" s="437"/>
      <c r="ER27" s="437"/>
      <c r="ES27" s="437"/>
      <c r="ET27" s="437"/>
      <c r="EU27" s="437"/>
      <c r="EV27" s="437"/>
      <c r="EW27" s="437"/>
      <c r="EX27" s="437"/>
      <c r="EY27" s="437"/>
      <c r="EZ27" s="437"/>
      <c r="FA27" s="437"/>
      <c r="FB27" s="437"/>
      <c r="FC27" s="437"/>
      <c r="FD27" s="437"/>
      <c r="FE27" s="437"/>
      <c r="FF27" s="437"/>
      <c r="FG27" s="437"/>
      <c r="FH27" s="437"/>
      <c r="FI27" s="437"/>
      <c r="FJ27" s="437"/>
      <c r="FK27" s="437"/>
      <c r="FL27" s="437"/>
      <c r="FM27" s="437"/>
      <c r="FN27" s="437"/>
      <c r="FO27" s="437"/>
      <c r="FP27" s="437"/>
      <c r="FQ27" s="437"/>
      <c r="FR27" s="437"/>
      <c r="FS27" s="437"/>
      <c r="FT27" s="437"/>
      <c r="FU27" s="437"/>
      <c r="FV27" s="437"/>
      <c r="FW27" s="437"/>
      <c r="FX27" s="437"/>
      <c r="FY27" s="437"/>
      <c r="FZ27" s="437"/>
      <c r="GA27" s="437"/>
      <c r="GB27" s="437"/>
      <c r="GC27" s="437"/>
      <c r="GD27" s="437"/>
      <c r="GE27" s="437"/>
      <c r="GF27" s="437"/>
      <c r="GG27" s="437"/>
      <c r="GH27" s="437"/>
      <c r="GI27" s="437"/>
      <c r="GJ27" s="437"/>
      <c r="GK27" s="437"/>
      <c r="GL27" s="437"/>
      <c r="GM27" s="437"/>
      <c r="GN27" s="437"/>
      <c r="GO27" s="437"/>
      <c r="GP27" s="437"/>
      <c r="GQ27" s="437"/>
      <c r="GR27" s="437"/>
      <c r="GS27" s="437"/>
      <c r="GT27" s="437"/>
      <c r="GU27" s="437"/>
      <c r="GV27" s="437"/>
      <c r="GW27" s="437"/>
      <c r="GX27" s="437"/>
      <c r="GY27" s="437"/>
      <c r="GZ27" s="437"/>
      <c r="HA27" s="437"/>
      <c r="HB27" s="437"/>
      <c r="HC27" s="437"/>
      <c r="HD27" s="437"/>
      <c r="HE27" s="437"/>
      <c r="HF27" s="437"/>
      <c r="HG27" s="437"/>
      <c r="HH27" s="437"/>
      <c r="HI27" s="437"/>
      <c r="HJ27" s="437"/>
      <c r="HK27" s="437"/>
      <c r="HL27" s="437"/>
      <c r="HM27" s="437"/>
      <c r="HN27" s="437"/>
      <c r="HO27" s="437"/>
      <c r="HP27" s="437"/>
      <c r="HQ27" s="437"/>
      <c r="HR27" s="437"/>
      <c r="HS27" s="437"/>
      <c r="HT27" s="437"/>
      <c r="HU27" s="437"/>
      <c r="HV27" s="437"/>
      <c r="HW27" s="437"/>
      <c r="HX27" s="437"/>
      <c r="HY27" s="437"/>
      <c r="HZ27" s="437"/>
      <c r="IA27" s="437"/>
      <c r="IB27" s="437"/>
      <c r="IC27" s="437"/>
      <c r="ID27" s="437"/>
      <c r="IE27" s="437"/>
      <c r="IF27" s="437"/>
      <c r="IG27" s="437"/>
      <c r="IH27" s="437"/>
      <c r="II27" s="437"/>
      <c r="IJ27" s="437"/>
      <c r="IK27" s="437"/>
      <c r="IL27" s="437"/>
      <c r="IM27" s="437"/>
      <c r="IN27" s="437"/>
      <c r="IO27" s="437"/>
      <c r="IP27" s="437"/>
      <c r="IQ27" s="437"/>
      <c r="IR27" s="437"/>
      <c r="IS27" s="437"/>
      <c r="IT27" s="437"/>
      <c r="IU27" s="437"/>
      <c r="IV27" s="437"/>
      <c r="IW27" s="437"/>
      <c r="IX27" s="437"/>
      <c r="IY27" s="437"/>
    </row>
    <row r="28" spans="2:259" s="436" customFormat="1" ht="12.75" customHeight="1" x14ac:dyDescent="0.2">
      <c r="B28" s="895"/>
      <c r="C28" s="536"/>
      <c r="D28" s="537"/>
      <c r="E28" s="537"/>
      <c r="F28" s="538"/>
      <c r="G28" s="531">
        <v>0</v>
      </c>
      <c r="H28" s="445">
        <v>0</v>
      </c>
      <c r="I28" s="445">
        <v>0</v>
      </c>
      <c r="J28" s="454">
        <f t="shared" si="4"/>
        <v>0</v>
      </c>
      <c r="K28" s="415">
        <f t="shared" si="5"/>
        <v>0</v>
      </c>
      <c r="L28" s="898"/>
      <c r="M28" s="440"/>
      <c r="N28" s="444"/>
      <c r="O28" s="444"/>
      <c r="P28" s="439"/>
      <c r="Q28" s="439"/>
      <c r="R28" s="439"/>
      <c r="S28" s="442"/>
      <c r="T28" s="441"/>
      <c r="U28" s="441"/>
      <c r="V28" s="441"/>
      <c r="W28" s="441"/>
      <c r="X28" s="443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7"/>
      <c r="CU28" s="437"/>
      <c r="CV28" s="437"/>
      <c r="CW28" s="437"/>
      <c r="CX28" s="437"/>
      <c r="CY28" s="437"/>
      <c r="CZ28" s="437"/>
      <c r="DA28" s="437"/>
      <c r="DB28" s="437"/>
      <c r="DC28" s="437"/>
      <c r="DD28" s="437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437"/>
      <c r="EQ28" s="437"/>
      <c r="ER28" s="437"/>
      <c r="ES28" s="437"/>
      <c r="ET28" s="437"/>
      <c r="EU28" s="437"/>
      <c r="EV28" s="437"/>
      <c r="EW28" s="437"/>
      <c r="EX28" s="437"/>
      <c r="EY28" s="437"/>
      <c r="EZ28" s="437"/>
      <c r="FA28" s="437"/>
      <c r="FB28" s="437"/>
      <c r="FC28" s="437"/>
      <c r="FD28" s="437"/>
      <c r="FE28" s="437"/>
      <c r="FF28" s="437"/>
      <c r="FG28" s="437"/>
      <c r="FH28" s="437"/>
      <c r="FI28" s="437"/>
      <c r="FJ28" s="437"/>
      <c r="FK28" s="437"/>
      <c r="FL28" s="437"/>
      <c r="FM28" s="437"/>
      <c r="FN28" s="437"/>
      <c r="FO28" s="437"/>
      <c r="FP28" s="437"/>
      <c r="FQ28" s="437"/>
      <c r="FR28" s="437"/>
      <c r="FS28" s="437"/>
      <c r="FT28" s="437"/>
      <c r="FU28" s="437"/>
      <c r="FV28" s="437"/>
      <c r="FW28" s="437"/>
      <c r="FX28" s="437"/>
      <c r="FY28" s="437"/>
      <c r="FZ28" s="437"/>
      <c r="GA28" s="437"/>
      <c r="GB28" s="437"/>
      <c r="GC28" s="437"/>
      <c r="GD28" s="437"/>
      <c r="GE28" s="437"/>
      <c r="GF28" s="437"/>
      <c r="GG28" s="437"/>
      <c r="GH28" s="437"/>
      <c r="GI28" s="437"/>
      <c r="GJ28" s="437"/>
      <c r="GK28" s="437"/>
      <c r="GL28" s="437"/>
      <c r="GM28" s="437"/>
      <c r="GN28" s="437"/>
      <c r="GO28" s="437"/>
      <c r="GP28" s="437"/>
      <c r="GQ28" s="437"/>
      <c r="GR28" s="437"/>
      <c r="GS28" s="437"/>
      <c r="GT28" s="437"/>
      <c r="GU28" s="437"/>
      <c r="GV28" s="437"/>
      <c r="GW28" s="437"/>
      <c r="GX28" s="437"/>
      <c r="GY28" s="437"/>
      <c r="GZ28" s="437"/>
      <c r="HA28" s="437"/>
      <c r="HB28" s="437"/>
      <c r="HC28" s="437"/>
      <c r="HD28" s="437"/>
      <c r="HE28" s="437"/>
      <c r="HF28" s="437"/>
      <c r="HG28" s="437"/>
      <c r="HH28" s="437"/>
      <c r="HI28" s="437"/>
      <c r="HJ28" s="437"/>
      <c r="HK28" s="437"/>
      <c r="HL28" s="437"/>
      <c r="HM28" s="437"/>
      <c r="HN28" s="437"/>
      <c r="HO28" s="437"/>
      <c r="HP28" s="437"/>
      <c r="HQ28" s="437"/>
      <c r="HR28" s="437"/>
      <c r="HS28" s="437"/>
      <c r="HT28" s="437"/>
      <c r="HU28" s="437"/>
      <c r="HV28" s="437"/>
      <c r="HW28" s="437"/>
      <c r="HX28" s="437"/>
      <c r="HY28" s="437"/>
      <c r="HZ28" s="437"/>
      <c r="IA28" s="437"/>
      <c r="IB28" s="437"/>
      <c r="IC28" s="437"/>
      <c r="ID28" s="437"/>
      <c r="IE28" s="437"/>
      <c r="IF28" s="437"/>
      <c r="IG28" s="437"/>
      <c r="IH28" s="437"/>
      <c r="II28" s="437"/>
      <c r="IJ28" s="437"/>
      <c r="IK28" s="437"/>
      <c r="IL28" s="437"/>
      <c r="IM28" s="437"/>
      <c r="IN28" s="437"/>
      <c r="IO28" s="437"/>
      <c r="IP28" s="437"/>
      <c r="IQ28" s="437"/>
      <c r="IR28" s="437"/>
      <c r="IS28" s="437"/>
      <c r="IT28" s="437"/>
      <c r="IU28" s="437"/>
      <c r="IV28" s="437"/>
      <c r="IW28" s="437"/>
      <c r="IX28" s="437"/>
      <c r="IY28" s="437"/>
    </row>
    <row r="29" spans="2:259" s="436" customFormat="1" ht="12.75" customHeight="1" x14ac:dyDescent="0.2">
      <c r="B29" s="895"/>
      <c r="C29" s="536"/>
      <c r="D29" s="537"/>
      <c r="E29" s="537"/>
      <c r="F29" s="538"/>
      <c r="G29" s="531">
        <v>0</v>
      </c>
      <c r="H29" s="445">
        <v>0</v>
      </c>
      <c r="I29" s="445">
        <v>0</v>
      </c>
      <c r="J29" s="454">
        <f t="shared" si="4"/>
        <v>0</v>
      </c>
      <c r="K29" s="415">
        <f t="shared" si="5"/>
        <v>0</v>
      </c>
      <c r="L29" s="898"/>
      <c r="M29" s="440"/>
      <c r="N29" s="444"/>
      <c r="O29" s="444"/>
      <c r="P29" s="439"/>
      <c r="Q29" s="439"/>
      <c r="R29" s="439"/>
      <c r="S29" s="442"/>
      <c r="T29" s="441"/>
      <c r="U29" s="441"/>
      <c r="V29" s="441"/>
      <c r="W29" s="441"/>
      <c r="X29" s="443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437"/>
      <c r="EQ29" s="437"/>
      <c r="ER29" s="437"/>
      <c r="ES29" s="437"/>
      <c r="ET29" s="437"/>
      <c r="EU29" s="437"/>
      <c r="EV29" s="437"/>
      <c r="EW29" s="437"/>
      <c r="EX29" s="437"/>
      <c r="EY29" s="437"/>
      <c r="EZ29" s="437"/>
      <c r="FA29" s="437"/>
      <c r="FB29" s="437"/>
      <c r="FC29" s="437"/>
      <c r="FD29" s="437"/>
      <c r="FE29" s="437"/>
      <c r="FF29" s="437"/>
      <c r="FG29" s="437"/>
      <c r="FH29" s="437"/>
      <c r="FI29" s="437"/>
      <c r="FJ29" s="437"/>
      <c r="FK29" s="437"/>
      <c r="FL29" s="437"/>
      <c r="FM29" s="437"/>
      <c r="FN29" s="437"/>
      <c r="FO29" s="437"/>
      <c r="FP29" s="437"/>
      <c r="FQ29" s="437"/>
      <c r="FR29" s="437"/>
      <c r="FS29" s="437"/>
      <c r="FT29" s="437"/>
      <c r="FU29" s="437"/>
      <c r="FV29" s="437"/>
      <c r="FW29" s="437"/>
      <c r="FX29" s="437"/>
      <c r="FY29" s="437"/>
      <c r="FZ29" s="437"/>
      <c r="GA29" s="437"/>
      <c r="GB29" s="437"/>
      <c r="GC29" s="437"/>
      <c r="GD29" s="437"/>
      <c r="GE29" s="437"/>
      <c r="GF29" s="437"/>
      <c r="GG29" s="437"/>
      <c r="GH29" s="437"/>
      <c r="GI29" s="437"/>
      <c r="GJ29" s="437"/>
      <c r="GK29" s="437"/>
      <c r="GL29" s="437"/>
      <c r="GM29" s="437"/>
      <c r="GN29" s="437"/>
      <c r="GO29" s="437"/>
      <c r="GP29" s="437"/>
      <c r="GQ29" s="437"/>
      <c r="GR29" s="437"/>
      <c r="GS29" s="437"/>
      <c r="GT29" s="437"/>
      <c r="GU29" s="437"/>
      <c r="GV29" s="437"/>
      <c r="GW29" s="437"/>
      <c r="GX29" s="437"/>
      <c r="GY29" s="437"/>
      <c r="GZ29" s="437"/>
      <c r="HA29" s="437"/>
      <c r="HB29" s="437"/>
      <c r="HC29" s="437"/>
      <c r="HD29" s="437"/>
      <c r="HE29" s="437"/>
      <c r="HF29" s="437"/>
      <c r="HG29" s="437"/>
      <c r="HH29" s="437"/>
      <c r="HI29" s="437"/>
      <c r="HJ29" s="437"/>
      <c r="HK29" s="437"/>
      <c r="HL29" s="437"/>
      <c r="HM29" s="437"/>
      <c r="HN29" s="437"/>
      <c r="HO29" s="437"/>
      <c r="HP29" s="437"/>
      <c r="HQ29" s="437"/>
      <c r="HR29" s="437"/>
      <c r="HS29" s="437"/>
      <c r="HT29" s="437"/>
      <c r="HU29" s="437"/>
      <c r="HV29" s="437"/>
      <c r="HW29" s="437"/>
      <c r="HX29" s="437"/>
      <c r="HY29" s="437"/>
      <c r="HZ29" s="437"/>
      <c r="IA29" s="437"/>
      <c r="IB29" s="437"/>
      <c r="IC29" s="437"/>
      <c r="ID29" s="437"/>
      <c r="IE29" s="437"/>
      <c r="IF29" s="437"/>
      <c r="IG29" s="437"/>
      <c r="IH29" s="437"/>
      <c r="II29" s="437"/>
      <c r="IJ29" s="437"/>
      <c r="IK29" s="437"/>
      <c r="IL29" s="437"/>
      <c r="IM29" s="437"/>
      <c r="IN29" s="437"/>
      <c r="IO29" s="437"/>
      <c r="IP29" s="437"/>
      <c r="IQ29" s="437"/>
      <c r="IR29" s="437"/>
      <c r="IS29" s="437"/>
      <c r="IT29" s="437"/>
      <c r="IU29" s="437"/>
      <c r="IV29" s="437"/>
      <c r="IW29" s="437"/>
      <c r="IX29" s="437"/>
      <c r="IY29" s="437"/>
    </row>
    <row r="30" spans="2:259" s="436" customFormat="1" ht="13.5" customHeight="1" thickBot="1" x14ac:dyDescent="0.25">
      <c r="B30" s="896"/>
      <c r="C30" s="457"/>
      <c r="D30" s="539"/>
      <c r="E30" s="539"/>
      <c r="F30" s="416"/>
      <c r="G30" s="533">
        <v>0</v>
      </c>
      <c r="H30" s="446">
        <v>0</v>
      </c>
      <c r="I30" s="446">
        <v>0</v>
      </c>
      <c r="J30" s="455">
        <f>SUM(G30:I30)</f>
        <v>0</v>
      </c>
      <c r="K30" s="456">
        <f t="shared" ref="K30" si="6">+J30*(1+$L$7)</f>
        <v>0</v>
      </c>
      <c r="L30" s="899"/>
      <c r="M30" s="440"/>
      <c r="N30" s="444"/>
      <c r="O30" s="444"/>
      <c r="P30" s="439"/>
      <c r="Q30" s="439"/>
      <c r="R30" s="439"/>
      <c r="S30" s="442"/>
      <c r="T30" s="441"/>
      <c r="U30" s="441"/>
      <c r="V30" s="441"/>
      <c r="W30" s="441"/>
      <c r="X30" s="443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437"/>
      <c r="EQ30" s="437"/>
      <c r="ER30" s="437"/>
      <c r="ES30" s="437"/>
      <c r="ET30" s="437"/>
      <c r="EU30" s="437"/>
      <c r="EV30" s="437"/>
      <c r="EW30" s="437"/>
      <c r="EX30" s="437"/>
      <c r="EY30" s="437"/>
      <c r="EZ30" s="437"/>
      <c r="FA30" s="437"/>
      <c r="FB30" s="437"/>
      <c r="FC30" s="437"/>
      <c r="FD30" s="437"/>
      <c r="FE30" s="437"/>
      <c r="FF30" s="437"/>
      <c r="FG30" s="437"/>
      <c r="FH30" s="437"/>
      <c r="FI30" s="437"/>
      <c r="FJ30" s="437"/>
      <c r="FK30" s="437"/>
      <c r="FL30" s="437"/>
      <c r="FM30" s="437"/>
      <c r="FN30" s="437"/>
      <c r="FO30" s="437"/>
      <c r="FP30" s="437"/>
      <c r="FQ30" s="437"/>
      <c r="FR30" s="437"/>
      <c r="FS30" s="437"/>
      <c r="FT30" s="437"/>
      <c r="FU30" s="437"/>
      <c r="FV30" s="437"/>
      <c r="FW30" s="437"/>
      <c r="FX30" s="437"/>
      <c r="FY30" s="437"/>
      <c r="FZ30" s="437"/>
      <c r="GA30" s="437"/>
      <c r="GB30" s="437"/>
      <c r="GC30" s="437"/>
      <c r="GD30" s="437"/>
      <c r="GE30" s="437"/>
      <c r="GF30" s="437"/>
      <c r="GG30" s="437"/>
      <c r="GH30" s="437"/>
      <c r="GI30" s="437"/>
      <c r="GJ30" s="437"/>
      <c r="GK30" s="437"/>
      <c r="GL30" s="437"/>
      <c r="GM30" s="437"/>
      <c r="GN30" s="437"/>
      <c r="GO30" s="437"/>
      <c r="GP30" s="437"/>
      <c r="GQ30" s="437"/>
      <c r="GR30" s="437"/>
      <c r="GS30" s="437"/>
      <c r="GT30" s="437"/>
      <c r="GU30" s="437"/>
      <c r="GV30" s="437"/>
      <c r="GW30" s="437"/>
      <c r="GX30" s="437"/>
      <c r="GY30" s="437"/>
      <c r="GZ30" s="437"/>
      <c r="HA30" s="437"/>
      <c r="HB30" s="437"/>
      <c r="HC30" s="437"/>
      <c r="HD30" s="437"/>
      <c r="HE30" s="437"/>
      <c r="HF30" s="437"/>
      <c r="HG30" s="437"/>
      <c r="HH30" s="437"/>
      <c r="HI30" s="437"/>
      <c r="HJ30" s="437"/>
      <c r="HK30" s="437"/>
      <c r="HL30" s="437"/>
      <c r="HM30" s="437"/>
      <c r="HN30" s="437"/>
      <c r="HO30" s="437"/>
      <c r="HP30" s="437"/>
      <c r="HQ30" s="437"/>
      <c r="HR30" s="437"/>
      <c r="HS30" s="437"/>
      <c r="HT30" s="437"/>
      <c r="HU30" s="437"/>
      <c r="HV30" s="437"/>
      <c r="HW30" s="437"/>
      <c r="HX30" s="437"/>
      <c r="HY30" s="437"/>
      <c r="HZ30" s="437"/>
      <c r="IA30" s="437"/>
      <c r="IB30" s="437"/>
      <c r="IC30" s="437"/>
      <c r="ID30" s="437"/>
      <c r="IE30" s="437"/>
      <c r="IF30" s="437"/>
      <c r="IG30" s="437"/>
      <c r="IH30" s="437"/>
      <c r="II30" s="437"/>
      <c r="IJ30" s="437"/>
      <c r="IK30" s="437"/>
      <c r="IL30" s="437"/>
      <c r="IM30" s="437"/>
      <c r="IN30" s="437"/>
      <c r="IO30" s="437"/>
      <c r="IP30" s="437"/>
      <c r="IQ30" s="437"/>
      <c r="IR30" s="437"/>
      <c r="IS30" s="437"/>
      <c r="IT30" s="437"/>
      <c r="IU30" s="437"/>
      <c r="IV30" s="437"/>
      <c r="IW30" s="437"/>
      <c r="IX30" s="437"/>
      <c r="IY30" s="437"/>
    </row>
    <row r="31" spans="2:259" s="2" customFormat="1" ht="12.75" customHeight="1" x14ac:dyDescent="0.2">
      <c r="B31" s="888" t="str">
        <f>+'B) Reajuste Tarifas y Ocupación'!A15</f>
        <v>Sala Cuna Pequeños Héroes</v>
      </c>
      <c r="C31" s="620" t="s">
        <v>131</v>
      </c>
      <c r="D31" s="621" t="s">
        <v>131</v>
      </c>
      <c r="E31" s="621" t="s">
        <v>136</v>
      </c>
      <c r="F31" s="622" t="s">
        <v>224</v>
      </c>
      <c r="G31" s="623">
        <v>0</v>
      </c>
      <c r="H31" s="624">
        <v>0</v>
      </c>
      <c r="I31" s="624">
        <v>0</v>
      </c>
      <c r="J31" s="625">
        <f>SUM(G31:I31)</f>
        <v>0</v>
      </c>
      <c r="K31" s="626">
        <f>+J31*(1+$L$7)</f>
        <v>0</v>
      </c>
      <c r="L31" s="891">
        <f>SUM(K31:K36)</f>
        <v>0</v>
      </c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889"/>
      <c r="C32" s="627" t="s">
        <v>131</v>
      </c>
      <c r="D32" s="628" t="s">
        <v>131</v>
      </c>
      <c r="E32" s="628" t="s">
        <v>137</v>
      </c>
      <c r="F32" s="629" t="s">
        <v>224</v>
      </c>
      <c r="G32" s="630">
        <v>0</v>
      </c>
      <c r="H32" s="631">
        <v>0</v>
      </c>
      <c r="I32" s="631">
        <v>0</v>
      </c>
      <c r="J32" s="632">
        <f t="shared" ref="J32:J33" si="7">SUM(G32:I32)</f>
        <v>0</v>
      </c>
      <c r="K32" s="633">
        <f t="shared" ref="K32:K33" si="8">+J32*(1+$L$7)</f>
        <v>0</v>
      </c>
      <c r="L32" s="892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889"/>
      <c r="C33" s="627" t="s">
        <v>131</v>
      </c>
      <c r="D33" s="628" t="s">
        <v>131</v>
      </c>
      <c r="E33" s="628" t="s">
        <v>137</v>
      </c>
      <c r="F33" s="629" t="s">
        <v>224</v>
      </c>
      <c r="G33" s="630">
        <v>0</v>
      </c>
      <c r="H33" s="631">
        <v>0</v>
      </c>
      <c r="I33" s="631">
        <v>0</v>
      </c>
      <c r="J33" s="632">
        <f t="shared" si="7"/>
        <v>0</v>
      </c>
      <c r="K33" s="633">
        <f t="shared" si="8"/>
        <v>0</v>
      </c>
      <c r="L33" s="892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889"/>
      <c r="C34" s="627"/>
      <c r="D34" s="628"/>
      <c r="E34" s="628"/>
      <c r="F34" s="629"/>
      <c r="G34" s="630"/>
      <c r="H34" s="631"/>
      <c r="I34" s="631"/>
      <c r="J34" s="632"/>
      <c r="K34" s="633"/>
      <c r="L34" s="892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889"/>
      <c r="C35" s="627"/>
      <c r="D35" s="628"/>
      <c r="E35" s="628"/>
      <c r="F35" s="629"/>
      <c r="G35" s="630"/>
      <c r="H35" s="631"/>
      <c r="I35" s="631"/>
      <c r="J35" s="632"/>
      <c r="K35" s="633"/>
      <c r="L35" s="892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890"/>
      <c r="C36" s="634"/>
      <c r="D36" s="635"/>
      <c r="E36" s="635"/>
      <c r="F36" s="636"/>
      <c r="G36" s="637"/>
      <c r="H36" s="638"/>
      <c r="I36" s="638"/>
      <c r="J36" s="639"/>
      <c r="K36" s="640"/>
      <c r="L36" s="893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37"/>
      <c r="K37" s="618" t="s">
        <v>94</v>
      </c>
      <c r="L37" s="218">
        <f>SUM(L11:L36)</f>
        <v>78179019.829999998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37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30zrM5rYYI5c3rpR+N0RVEvTs2phf1prkH/AM++HCMV4vgUgUFe8hRl6SSHZCXUVWBpWCgB6Z4dFqjdkYuoUqw==" saltValue="gmM9nRL7a9RgNc+9KntWgg==" spinCount="100000" sheet="1" objects="1" scenarios="1"/>
  <mergeCells count="16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G9:J9"/>
    <mergeCell ref="K9:K10"/>
    <mergeCell ref="L9:L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H3" zoomScaleNormal="100" workbookViewId="0">
      <selection activeCell="L11" sqref="L11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207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199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24" t="str">
        <f>+'B) Reajuste Tarifas y Ocupación'!F5</f>
        <v>BIENIQUE</v>
      </c>
      <c r="E4" s="728"/>
      <c r="F4" s="925"/>
      <c r="G4" s="239"/>
      <c r="H4" s="239"/>
      <c r="I4" s="239"/>
      <c r="J4" s="239"/>
      <c r="K4" s="239"/>
      <c r="L4" s="239"/>
      <c r="N4" s="239"/>
      <c r="P4" s="239"/>
    </row>
    <row r="5" spans="1:19" x14ac:dyDescent="0.2">
      <c r="A5" s="9"/>
      <c r="B5" s="1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P5" s="239"/>
    </row>
    <row r="6" spans="1:19" x14ac:dyDescent="0.2">
      <c r="A6" s="9"/>
      <c r="B6" s="1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P6" s="239"/>
    </row>
    <row r="7" spans="1:19" ht="12.75" customHeight="1" x14ac:dyDescent="0.2">
      <c r="A7" s="937" t="s">
        <v>129</v>
      </c>
      <c r="B7" s="938"/>
      <c r="C7" s="938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9"/>
      <c r="P7" s="53"/>
    </row>
    <row r="8" spans="1:19" x14ac:dyDescent="0.2">
      <c r="A8" s="940"/>
      <c r="B8" s="941"/>
      <c r="C8" s="941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2"/>
      <c r="P8" s="53"/>
    </row>
    <row r="9" spans="1:19" x14ac:dyDescent="0.2">
      <c r="A9" s="943"/>
      <c r="B9" s="944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5"/>
      <c r="P9" s="53"/>
    </row>
    <row r="10" spans="1:19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883" t="s">
        <v>161</v>
      </c>
      <c r="B12" s="883"/>
      <c r="C12" s="883"/>
      <c r="D12" s="883"/>
      <c r="E12" s="240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P13" s="239"/>
    </row>
    <row r="14" spans="1:19" ht="20.25" customHeight="1" x14ac:dyDescent="0.2">
      <c r="A14" s="928" t="s">
        <v>135</v>
      </c>
      <c r="B14" s="930" t="s">
        <v>5</v>
      </c>
      <c r="C14" s="735" t="s">
        <v>230</v>
      </c>
      <c r="D14" s="736"/>
      <c r="E14" s="736"/>
      <c r="F14" s="736"/>
      <c r="G14" s="737"/>
      <c r="H14" s="934" t="s">
        <v>144</v>
      </c>
      <c r="I14" s="935"/>
      <c r="J14" s="935"/>
      <c r="K14" s="935"/>
      <c r="L14" s="936"/>
      <c r="M14" s="932" t="s">
        <v>109</v>
      </c>
      <c r="N14" s="933"/>
      <c r="O14" s="926" t="s">
        <v>110</v>
      </c>
      <c r="P14" s="927"/>
      <c r="Q14" s="922" t="s">
        <v>130</v>
      </c>
    </row>
    <row r="15" spans="1:19" ht="70.5" customHeight="1" thickBot="1" x14ac:dyDescent="0.25">
      <c r="A15" s="929"/>
      <c r="B15" s="931"/>
      <c r="C15" s="344" t="s">
        <v>86</v>
      </c>
      <c r="D15" s="345" t="s">
        <v>138</v>
      </c>
      <c r="E15" s="345" t="s">
        <v>139</v>
      </c>
      <c r="F15" s="345" t="s">
        <v>87</v>
      </c>
      <c r="G15" s="346" t="s">
        <v>88</v>
      </c>
      <c r="H15" s="347" t="s">
        <v>86</v>
      </c>
      <c r="I15" s="348" t="s">
        <v>138</v>
      </c>
      <c r="J15" s="348" t="s">
        <v>139</v>
      </c>
      <c r="K15" s="348" t="s">
        <v>87</v>
      </c>
      <c r="L15" s="349" t="s">
        <v>88</v>
      </c>
      <c r="M15" s="350" t="s">
        <v>72</v>
      </c>
      <c r="N15" s="212" t="s">
        <v>85</v>
      </c>
      <c r="O15" s="351" t="s">
        <v>72</v>
      </c>
      <c r="P15" s="212" t="s">
        <v>85</v>
      </c>
      <c r="Q15" s="923"/>
    </row>
    <row r="16" spans="1:19" ht="12.75" customHeight="1" x14ac:dyDescent="0.2">
      <c r="A16" s="919" t="str">
        <f>'B) Reajuste Tarifas y Ocupación'!A12</f>
        <v>Jardín Infantil Pequeños Héroes</v>
      </c>
      <c r="B16" s="352" t="str">
        <f>+'B) Reajuste Tarifas y Ocupación'!B12</f>
        <v>Media jornada</v>
      </c>
      <c r="C16" s="309">
        <f>+'B) Reajuste Tarifas y Ocupación'!M12</f>
        <v>70200</v>
      </c>
      <c r="D16" s="310">
        <f>+'B) Reajuste Tarifas y Ocupación'!N12</f>
        <v>84300</v>
      </c>
      <c r="E16" s="310">
        <f>+'B) Reajuste Tarifas y Ocupación'!O12</f>
        <v>84300</v>
      </c>
      <c r="F16" s="310">
        <f>+'B) Reajuste Tarifas y Ocupación'!P12</f>
        <v>120400</v>
      </c>
      <c r="G16" s="311">
        <f>+'B) Reajuste Tarifas y Ocupación'!Q12</f>
        <v>177100</v>
      </c>
      <c r="H16" s="355">
        <f t="shared" ref="H16:K17" si="0">IFERROR(C16/$Q16,0)</f>
        <v>0.36947368421052634</v>
      </c>
      <c r="I16" s="152">
        <f t="shared" si="0"/>
        <v>0.44368421052631579</v>
      </c>
      <c r="J16" s="152">
        <f t="shared" si="0"/>
        <v>0.44368421052631579</v>
      </c>
      <c r="K16" s="152">
        <f t="shared" si="0"/>
        <v>0.63368421052631574</v>
      </c>
      <c r="L16" s="153">
        <f t="shared" ref="L16" si="1">IFERROR(G16/$Q16,0)</f>
        <v>0.93210526315789477</v>
      </c>
      <c r="M16" s="254" t="s">
        <v>292</v>
      </c>
      <c r="N16" s="219">
        <v>380000</v>
      </c>
      <c r="O16" s="254" t="s">
        <v>128</v>
      </c>
      <c r="P16" s="219">
        <v>0</v>
      </c>
      <c r="Q16" s="357">
        <f>AVERAGE(N16,P16)</f>
        <v>190000</v>
      </c>
      <c r="R16" s="20"/>
      <c r="S16" s="21"/>
    </row>
    <row r="17" spans="1:19" ht="12.75" customHeight="1" x14ac:dyDescent="0.2">
      <c r="A17" s="920"/>
      <c r="B17" s="353" t="str">
        <f>+'B) Reajuste Tarifas y Ocupación'!B13</f>
        <v>Media jornada Extendida</v>
      </c>
      <c r="C17" s="312">
        <f>+'B) Reajuste Tarifas y Ocupación'!M13</f>
        <v>100400</v>
      </c>
      <c r="D17" s="308">
        <f>+'B) Reajuste Tarifas y Ocupación'!N13</f>
        <v>120500</v>
      </c>
      <c r="E17" s="308">
        <f>+'B) Reajuste Tarifas y Ocupación'!O13</f>
        <v>120500</v>
      </c>
      <c r="F17" s="308">
        <f>+'B) Reajuste Tarifas y Ocupación'!P13</f>
        <v>163700</v>
      </c>
      <c r="G17" s="313">
        <f>+'B) Reajuste Tarifas y Ocupación'!Q13</f>
        <v>255400</v>
      </c>
      <c r="H17" s="155">
        <f t="shared" si="0"/>
        <v>0.57371428571428573</v>
      </c>
      <c r="I17" s="154">
        <f t="shared" si="0"/>
        <v>0.68857142857142861</v>
      </c>
      <c r="J17" s="154">
        <f t="shared" si="0"/>
        <v>0.68857142857142861</v>
      </c>
      <c r="K17" s="154">
        <f t="shared" si="0"/>
        <v>0.93542857142857139</v>
      </c>
      <c r="L17" s="356">
        <f t="shared" ref="L17" si="2">IFERROR(G17/$Q17,0)</f>
        <v>1.4594285714285715</v>
      </c>
      <c r="M17" s="220" t="s">
        <v>293</v>
      </c>
      <c r="N17" s="221">
        <v>350000</v>
      </c>
      <c r="O17" s="220" t="s">
        <v>128</v>
      </c>
      <c r="P17" s="221">
        <v>0</v>
      </c>
      <c r="Q17" s="358">
        <f>AVERAGE(N17,P17)</f>
        <v>175000</v>
      </c>
      <c r="R17" s="20"/>
      <c r="S17" s="21"/>
    </row>
    <row r="18" spans="1:19" ht="13.5" thickBot="1" x14ac:dyDescent="0.25">
      <c r="A18" s="921"/>
      <c r="B18" s="354" t="str">
        <f>+'B) Reajuste Tarifas y Ocupación'!B14</f>
        <v>Jornada Completa</v>
      </c>
      <c r="C18" s="314">
        <f>+'B) Reajuste Tarifas y Ocupación'!M14</f>
        <v>117100</v>
      </c>
      <c r="D18" s="315">
        <f>+'B) Reajuste Tarifas y Ocupación'!N14</f>
        <v>140600</v>
      </c>
      <c r="E18" s="315">
        <f>+'B) Reajuste Tarifas y Ocupación'!O14</f>
        <v>140600</v>
      </c>
      <c r="F18" s="315">
        <f>+'B) Reajuste Tarifas y Ocupación'!P14</f>
        <v>197000</v>
      </c>
      <c r="G18" s="316">
        <f>+'B) Reajuste Tarifas y Ocupación'!Q14</f>
        <v>313100</v>
      </c>
      <c r="H18" s="224">
        <f t="shared" ref="H18:H20" si="3">IFERROR(C18/$Q18,0)</f>
        <v>0</v>
      </c>
      <c r="I18" s="225">
        <f t="shared" ref="I18:I20" si="4">IFERROR(D18/$Q18,0)</f>
        <v>0</v>
      </c>
      <c r="J18" s="225">
        <f t="shared" ref="J18:J20" si="5">IFERROR(E18/$Q18,0)</f>
        <v>0</v>
      </c>
      <c r="K18" s="225">
        <f t="shared" ref="K18:K20" si="6">IFERROR(F18/$Q18,0)</f>
        <v>0</v>
      </c>
      <c r="L18" s="226">
        <f t="shared" ref="L18:L20" si="7">IFERROR(G18/$Q18,0)</f>
        <v>0</v>
      </c>
      <c r="M18" s="222" t="s">
        <v>127</v>
      </c>
      <c r="N18" s="223">
        <v>0</v>
      </c>
      <c r="O18" s="222" t="s">
        <v>128</v>
      </c>
      <c r="P18" s="223">
        <v>0</v>
      </c>
      <c r="Q18" s="359">
        <f t="shared" ref="Q18" si="8">AVERAGE(N18,P18)</f>
        <v>0</v>
      </c>
      <c r="R18" s="20"/>
      <c r="S18" s="21"/>
    </row>
    <row r="19" spans="1:19" x14ac:dyDescent="0.2">
      <c r="A19" s="919" t="str">
        <f>'B) Reajuste Tarifas y Ocupación'!A15</f>
        <v>Sala Cuna Pequeños Héroes</v>
      </c>
      <c r="B19" s="352" t="str">
        <f>+'B) Reajuste Tarifas y Ocupación'!B15</f>
        <v>Diurna</v>
      </c>
      <c r="C19" s="309">
        <f>+'B) Reajuste Tarifas y Ocupación'!M15</f>
        <v>310000</v>
      </c>
      <c r="D19" s="310">
        <f>+'B) Reajuste Tarifas y Ocupación'!N15</f>
        <v>372000</v>
      </c>
      <c r="E19" s="310">
        <f>+'B) Reajuste Tarifas y Ocupación'!O15</f>
        <v>372000</v>
      </c>
      <c r="F19" s="310">
        <f>+'B) Reajuste Tarifas y Ocupación'!P15</f>
        <v>387500</v>
      </c>
      <c r="G19" s="311">
        <f>+'B) Reajuste Tarifas y Ocupación'!Q15</f>
        <v>465000</v>
      </c>
      <c r="H19" s="355">
        <f t="shared" si="3"/>
        <v>1.3052631578947369</v>
      </c>
      <c r="I19" s="152">
        <f t="shared" si="4"/>
        <v>1.5663157894736841</v>
      </c>
      <c r="J19" s="152">
        <f t="shared" si="5"/>
        <v>1.5663157894736841</v>
      </c>
      <c r="K19" s="152">
        <f t="shared" si="6"/>
        <v>1.631578947368421</v>
      </c>
      <c r="L19" s="153">
        <f t="shared" si="7"/>
        <v>1.9578947368421054</v>
      </c>
      <c r="M19" s="430" t="s">
        <v>290</v>
      </c>
      <c r="N19" s="219">
        <v>475000</v>
      </c>
      <c r="O19" s="430" t="s">
        <v>235</v>
      </c>
      <c r="P19" s="219">
        <v>0</v>
      </c>
      <c r="Q19" s="357">
        <f>AVERAGE(N19,P19)</f>
        <v>237500</v>
      </c>
    </row>
    <row r="20" spans="1:19" x14ac:dyDescent="0.2">
      <c r="A20" s="920"/>
      <c r="B20" s="353" t="str">
        <f>+'B) Reajuste Tarifas y Ocupación'!B16</f>
        <v>Nocturna</v>
      </c>
      <c r="C20" s="312">
        <f>+'B) Reajuste Tarifas y Ocupación'!M16</f>
        <v>0</v>
      </c>
      <c r="D20" s="308">
        <f>+'B) Reajuste Tarifas y Ocupación'!N16</f>
        <v>0</v>
      </c>
      <c r="E20" s="308">
        <f>+'B) Reajuste Tarifas y Ocupación'!O16</f>
        <v>0</v>
      </c>
      <c r="F20" s="308">
        <f>+'B) Reajuste Tarifas y Ocupación'!P16</f>
        <v>0</v>
      </c>
      <c r="G20" s="313">
        <f>+'B) Reajuste Tarifas y Ocupación'!Q16</f>
        <v>0</v>
      </c>
      <c r="H20" s="155">
        <f t="shared" si="3"/>
        <v>0</v>
      </c>
      <c r="I20" s="154">
        <f t="shared" si="4"/>
        <v>0</v>
      </c>
      <c r="J20" s="154">
        <f t="shared" si="5"/>
        <v>0</v>
      </c>
      <c r="K20" s="154">
        <f t="shared" si="6"/>
        <v>0</v>
      </c>
      <c r="L20" s="356">
        <f t="shared" si="7"/>
        <v>0</v>
      </c>
      <c r="M20" s="220" t="s">
        <v>291</v>
      </c>
      <c r="N20" s="221">
        <v>450000</v>
      </c>
      <c r="O20" s="220" t="s">
        <v>235</v>
      </c>
      <c r="P20" s="221">
        <v>0</v>
      </c>
      <c r="Q20" s="358">
        <f>AVERAGE(N20,P20)</f>
        <v>225000</v>
      </c>
    </row>
    <row r="21" spans="1:19" ht="13.5" thickBot="1" x14ac:dyDescent="0.25">
      <c r="A21" s="921"/>
      <c r="B21" s="354" t="str">
        <f>+'B) Reajuste Tarifas y Ocupación'!B17</f>
        <v>Media Jornada</v>
      </c>
      <c r="C21" s="447">
        <f>+'B) Reajuste Tarifas y Ocupación'!M17</f>
        <v>0</v>
      </c>
      <c r="D21" s="448">
        <f>+'B) Reajuste Tarifas y Ocupación'!N17</f>
        <v>0</v>
      </c>
      <c r="E21" s="448">
        <f>+'B) Reajuste Tarifas y Ocupación'!O17</f>
        <v>0</v>
      </c>
      <c r="F21" s="448">
        <f>+'B) Reajuste Tarifas y Ocupación'!P17</f>
        <v>0</v>
      </c>
      <c r="G21" s="449">
        <f>+'B) Reajuste Tarifas y Ocupación'!Q17</f>
        <v>0</v>
      </c>
      <c r="H21" s="451">
        <f t="shared" ref="H21" si="9">IFERROR(C21/$Q21,0)</f>
        <v>0</v>
      </c>
      <c r="I21" s="452">
        <f t="shared" ref="I21" si="10">IFERROR(D21/$Q21,0)</f>
        <v>0</v>
      </c>
      <c r="J21" s="452">
        <f t="shared" ref="J21" si="11">IFERROR(E21/$Q21,0)</f>
        <v>0</v>
      </c>
      <c r="K21" s="452">
        <f t="shared" ref="K21" si="12">IFERROR(F21/$Q21,0)</f>
        <v>0</v>
      </c>
      <c r="L21" s="459">
        <f t="shared" ref="L21" si="13">IFERROR(G21/$Q21,0)</f>
        <v>0</v>
      </c>
      <c r="M21" s="457" t="s">
        <v>235</v>
      </c>
      <c r="N21" s="458">
        <v>0</v>
      </c>
      <c r="O21" s="457" t="s">
        <v>235</v>
      </c>
      <c r="P21" s="458">
        <v>0</v>
      </c>
      <c r="Q21" s="359">
        <f t="shared" ref="Q21" si="14">AVERAGE(N21,P21)</f>
        <v>0</v>
      </c>
    </row>
  </sheetData>
  <sheetProtection algorithmName="SHA-512" hashValue="nzLRQ+G79hU0ydI3wGfy4FuP9Ac7SBqTCRry2Yfh+PAZH+6d+TZHVvkSNnXpPcKXOBAea83UNAsnMlHcOISM6A==" saltValue="2sV6F18f6kMmg2sJ75fEhg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25"/>
  <sheetViews>
    <sheetView showGridLines="0" topLeftCell="A3" zoomScale="80" zoomScaleNormal="80" workbookViewId="0">
      <selection activeCell="A23" sqref="A23"/>
    </sheetView>
  </sheetViews>
  <sheetFormatPr baseColWidth="10" defaultColWidth="11.42578125" defaultRowHeight="12.75" x14ac:dyDescent="0.2"/>
  <cols>
    <col min="1" max="1" width="88.42578125" style="76" customWidth="1"/>
    <col min="2" max="2" width="11.42578125" style="76"/>
    <col min="3" max="3" width="12" style="76" bestFit="1" customWidth="1"/>
    <col min="4" max="9" width="11.42578125" style="76"/>
    <col min="10" max="11" width="13.28515625" style="76" customWidth="1"/>
    <col min="12" max="16384" width="11.42578125" style="76"/>
  </cols>
  <sheetData>
    <row r="1" spans="1:16" x14ac:dyDescent="0.2">
      <c r="J1" s="247"/>
      <c r="K1" s="250"/>
    </row>
    <row r="2" spans="1:16" x14ac:dyDescent="0.2">
      <c r="J2" s="247" t="s">
        <v>200</v>
      </c>
      <c r="K2" s="250"/>
    </row>
    <row r="4" spans="1:16" ht="19.5" customHeight="1" x14ac:dyDescent="0.2">
      <c r="I4" s="248" t="s">
        <v>0</v>
      </c>
      <c r="J4" s="876" t="str">
        <f>+'B) Reajuste Tarifas y Ocupación'!F5</f>
        <v>BIENIQUE</v>
      </c>
      <c r="K4" s="877"/>
    </row>
    <row r="6" spans="1:16" ht="12.75" customHeight="1" x14ac:dyDescent="0.2">
      <c r="A6" s="249" t="s">
        <v>122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ht="25.5" x14ac:dyDescent="0.2">
      <c r="A9" s="77" t="s">
        <v>294</v>
      </c>
      <c r="B9" s="77"/>
      <c r="C9" s="77"/>
      <c r="D9" s="77"/>
      <c r="E9" s="77"/>
      <c r="F9" s="77"/>
      <c r="G9" s="77"/>
      <c r="H9" s="77"/>
      <c r="I9" s="77"/>
    </row>
    <row r="10" spans="1:16" x14ac:dyDescent="0.2">
      <c r="A10" s="76" t="s">
        <v>295</v>
      </c>
    </row>
    <row r="11" spans="1:16" x14ac:dyDescent="0.2">
      <c r="A11" s="76" t="s">
        <v>296</v>
      </c>
    </row>
    <row r="12" spans="1:16" x14ac:dyDescent="0.2">
      <c r="A12" s="76" t="s">
        <v>297</v>
      </c>
    </row>
    <row r="18" spans="1:6" ht="18.75" customHeight="1" x14ac:dyDescent="0.2">
      <c r="A18" s="685" t="s">
        <v>177</v>
      </c>
      <c r="B18" s="76" t="s">
        <v>302</v>
      </c>
    </row>
    <row r="19" spans="1:6" ht="15" x14ac:dyDescent="0.2">
      <c r="A19" s="686" t="s">
        <v>212</v>
      </c>
      <c r="B19" s="677" t="s">
        <v>303</v>
      </c>
    </row>
    <row r="21" spans="1:6" x14ac:dyDescent="0.2">
      <c r="A21" s="76" t="s">
        <v>298</v>
      </c>
    </row>
    <row r="22" spans="1:6" x14ac:dyDescent="0.2">
      <c r="A22" s="76" t="s">
        <v>299</v>
      </c>
      <c r="B22" s="679" t="s">
        <v>300</v>
      </c>
      <c r="C22" s="679"/>
      <c r="D22" s="679"/>
      <c r="E22" s="679"/>
      <c r="F22" s="679"/>
    </row>
    <row r="23" spans="1:6" x14ac:dyDescent="0.2">
      <c r="A23" s="76" t="s">
        <v>24</v>
      </c>
      <c r="B23" s="683">
        <v>958000</v>
      </c>
      <c r="C23" s="684">
        <f>B23*1.23</f>
        <v>1178340</v>
      </c>
      <c r="D23" s="678"/>
      <c r="E23" s="678"/>
      <c r="F23" s="678"/>
    </row>
    <row r="24" spans="1:6" x14ac:dyDescent="0.2">
      <c r="A24" s="76" t="s">
        <v>25</v>
      </c>
      <c r="B24" s="682">
        <v>2502050</v>
      </c>
      <c r="C24" s="682">
        <f>B24*1.23</f>
        <v>3077521.5</v>
      </c>
      <c r="D24" s="678"/>
      <c r="E24" s="678"/>
      <c r="F24" s="678"/>
    </row>
    <row r="25" spans="1:6" x14ac:dyDescent="0.2">
      <c r="A25" s="76" t="s">
        <v>301</v>
      </c>
      <c r="B25" s="680">
        <f>11*(4*19000)</f>
        <v>836000</v>
      </c>
      <c r="C25" s="681">
        <f>B25*1.03</f>
        <v>861080</v>
      </c>
      <c r="D25" s="678"/>
      <c r="E25" s="678"/>
      <c r="F25" s="678"/>
    </row>
  </sheetData>
  <mergeCells count="1">
    <mergeCell ref="J4:K4"/>
  </mergeCells>
  <pageMargins left="0.7" right="0.7" top="0.75" bottom="0.75" header="0.3" footer="0.3"/>
  <pageSetup paperSize="9" orientation="portrait" horizontalDpi="0" verticalDpi="0" r:id="rId1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2017-09-14T16:34:08Z</cp:lastPrinted>
  <dcterms:created xsi:type="dcterms:W3CDTF">2017-05-11T00:45:10Z</dcterms:created>
  <dcterms:modified xsi:type="dcterms:W3CDTF">2020-12-15T20:11:32Z</dcterms:modified>
</cp:coreProperties>
</file>