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3305" windowHeight="12885" tabRatio="929" firstSheet="1" activeTab="2"/>
  </bookViews>
  <sheets>
    <sheet name="Instrucciones" sheetId="1" r:id="rId1"/>
    <sheet name="Índice Tablas" sheetId="2" r:id="rId2"/>
    <sheet name="A) Resumen Ingresos y Egresos" sheetId="3" r:id="rId3"/>
    <sheet name="B) Reajuste Tarifas y Ocupación" sheetId="4" r:id="rId4"/>
    <sheet name="C) Costos Directos" sheetId="5" r:id="rId5"/>
    <sheet name="D) Costos Indirectos" sheetId="6" r:id="rId6"/>
    <sheet name="E) Resumen Tarifado " sheetId="7" r:id="rId7"/>
    <sheet name="F) Remuneraciones" sheetId="8" r:id="rId8"/>
    <sheet name="G) Comparación Mercado" sheetId="9" r:id="rId9"/>
    <sheet name="H) Detalle Datos" sheetId="10" r:id="rId10"/>
    <sheet name="Proyección Mensual." sheetId="11" r:id="rId11"/>
  </sheets>
  <definedNames>
    <definedName name="__xlnm_Print_Area">'A) Resumen Ingresos y Egresos'!$A$1:$N$28</definedName>
    <definedName name="__xlnm_Print_Area_1">'C) Costos Directos'!$A$1:$H$11</definedName>
    <definedName name="__xlnm_Print_Area_2">'E) Resumen Tarifado '!$A$4:$G$11</definedName>
    <definedName name="__xlnm_Print_Titles">'A) Resumen Ingresos y Egresos'!$1:$21</definedName>
    <definedName name="__xlnm_Print_Titles_1">'C) Costos Directos'!$1:$11</definedName>
    <definedName name="__xlnm_Print_Titles_2">NA()</definedName>
    <definedName name="_xlfn.IFERROR" hidden="1">#NAME?</definedName>
    <definedName name="_xlnm.Print_Area" localSheetId="2">'A) Resumen Ingresos y Egresos'!$A$1:$N$28</definedName>
    <definedName name="_xlnm.Print_Area" localSheetId="4">'C) Costos Directos'!$A$1:$H$11</definedName>
    <definedName name="_xlnm.Print_Area" localSheetId="6">'E) Resumen Tarifado '!$A$4:$G$11</definedName>
    <definedName name="bienique1">'A) Resumen Ingresos y Egresos'!$A$8</definedName>
    <definedName name="Excel_BuiltIn_Print_Area" localSheetId="4">'C) Costos Directos'!$A$1:$H$11</definedName>
    <definedName name="Excel_BuiltIn_Print_Area_1_1">NA()</definedName>
    <definedName name="Excel_BuiltIn_Print_Area_4_1">NA()</definedName>
    <definedName name="Excel_BuiltIn_Print_Area_5_1">NA()</definedName>
    <definedName name="Excel_BuiltIn_Print_Titles_4">NA()</definedName>
    <definedName name="Excel_BuiltIn_Print_Titles_5">NA()</definedName>
    <definedName name="_xlnm.Print_Titles" localSheetId="2">'A) Resumen Ingresos y Egresos'!$1:$21</definedName>
    <definedName name="_xlnm.Print_Titles" localSheetId="4">'C) Costos Directos'!$1:$11</definedName>
  </definedNames>
  <calcPr fullCalcOnLoad="1"/>
</workbook>
</file>

<file path=xl/sharedStrings.xml><?xml version="1.0" encoding="utf-8"?>
<sst xmlns="http://schemas.openxmlformats.org/spreadsheetml/2006/main" count="1375" uniqueCount="542">
  <si>
    <t>REPARTICION:</t>
  </si>
  <si>
    <t xml:space="preserve">TOTAL </t>
  </si>
  <si>
    <t>Cálculo Ingreso</t>
  </si>
  <si>
    <t>Ocupación / Cargo</t>
  </si>
  <si>
    <t>Reajuste</t>
  </si>
  <si>
    <t>Prestación</t>
  </si>
  <si>
    <t>Total</t>
  </si>
  <si>
    <t>Meta Ocupación</t>
  </si>
  <si>
    <t>Total Prestaciones</t>
  </si>
  <si>
    <t>Ingreso anual</t>
  </si>
  <si>
    <t>Ingreso total anual</t>
  </si>
  <si>
    <t>COSTOS DE OPERACIÓN</t>
  </si>
  <si>
    <t>REMUNERACIONES DIRECTAS</t>
  </si>
  <si>
    <t>SUPLENCIAS Y REEMPLAZOS</t>
  </si>
  <si>
    <t>PERSONAL A TRATO Y TEMPORAL</t>
  </si>
  <si>
    <t>OTRAS REMUNERACIONES</t>
  </si>
  <si>
    <t>GASTO DE OPERACIÓN</t>
  </si>
  <si>
    <t>ALIMENTOS Y BEBIDAS</t>
  </si>
  <si>
    <t>TEXTILES Y ACABADOS TEXTILES</t>
  </si>
  <si>
    <t>COMBUSTIBLE LUBRIC P.VEHICULOS</t>
  </si>
  <si>
    <t>PARA CALEFACCION</t>
  </si>
  <si>
    <t>PRODUCTOS QUIMICOS</t>
  </si>
  <si>
    <t>MAT.P/MATEN.Y REPARACION</t>
  </si>
  <si>
    <t>EQUIPOS MENORES</t>
  </si>
  <si>
    <t>ELECTRICIDAD</t>
  </si>
  <si>
    <t>AGUA</t>
  </si>
  <si>
    <t>GAS</t>
  </si>
  <si>
    <t>TELEFONIA FIJA</t>
  </si>
  <si>
    <t>TELEFONIA CELULAR</t>
  </si>
  <si>
    <t>ACCESO A INTERNET</t>
  </si>
  <si>
    <t>SERVICIOS DE ASEO</t>
  </si>
  <si>
    <t>PASAJES, FLETES Y BODEGAJE</t>
  </si>
  <si>
    <t>SERVICIOS INFORMATICOS</t>
  </si>
  <si>
    <t>MAQUINAS Y EQUIPOS DE OFICINA</t>
  </si>
  <si>
    <t>GASTOS DE ADMINISTRACIÓN Y VENTAS</t>
  </si>
  <si>
    <t>GASTO EN PERSONAL</t>
  </si>
  <si>
    <t>% tiempo</t>
  </si>
  <si>
    <t>$ Costo</t>
  </si>
  <si>
    <t>VIATICOS PERSONAL COD.TRABAJO</t>
  </si>
  <si>
    <t>VESTUARIO ACC.Y PRENDAS DIVERS</t>
  </si>
  <si>
    <t>CALZADO</t>
  </si>
  <si>
    <t>CURSOS DE CAPACITACION</t>
  </si>
  <si>
    <t>CONSUMOS BÁSICOS</t>
  </si>
  <si>
    <t>ENLACES DE TELECOMUNICACIONES</t>
  </si>
  <si>
    <t>OTROS SERVICIOS BASICOS</t>
  </si>
  <si>
    <t>BIENES DE CONSUMO</t>
  </si>
  <si>
    <t>COMB.LUBR.DIRECTOS-INDIRECTOS</t>
  </si>
  <si>
    <t>MATERIALES DE OFICINA</t>
  </si>
  <si>
    <t>PROD.QUIMIC,FARMACEUTICOS IND.</t>
  </si>
  <si>
    <t>FERT.INSECT.FUNG.Y OTROS</t>
  </si>
  <si>
    <t>MAT.Y UTILES DE ASEO</t>
  </si>
  <si>
    <t>MENAJE OFICINA CASINO Y OTROS</t>
  </si>
  <si>
    <t>MOBILIARIO Y OTROS</t>
  </si>
  <si>
    <t>COSTO SERVICIO DESAYUNO</t>
  </si>
  <si>
    <t>COSTOS DE TEXT. VEST,O PRENDAS</t>
  </si>
  <si>
    <t>SERVICIOS GENERALES</t>
  </si>
  <si>
    <t>SERVICIO DE PUBLICIDAD</t>
  </si>
  <si>
    <t>SERVICIO DE IMPRESION</t>
  </si>
  <si>
    <t>SERVICIOS DE VIGILANCIA</t>
  </si>
  <si>
    <t>OTROS SERVICIOS GENERALES</t>
  </si>
  <si>
    <t>ARRIENDO DE TERRENOS</t>
  </si>
  <si>
    <t>ARRIENDO DE MOBILIARIO Y OTROS</t>
  </si>
  <si>
    <t>ARRIENDO DE MAQUINAS Y EQUIPOS</t>
  </si>
  <si>
    <t>OTROS ARRIENDOS</t>
  </si>
  <si>
    <t>SEGURO INMUEBLES</t>
  </si>
  <si>
    <t>MANTENCIÓN Y REPARACIÓN</t>
  </si>
  <si>
    <t>OTROS GASTOS</t>
  </si>
  <si>
    <t>Costo Unitario Promedio</t>
  </si>
  <si>
    <t>Cantidad</t>
  </si>
  <si>
    <t>ASISTENCIA RECREATIVA</t>
  </si>
  <si>
    <t>ASISTENCIA EDUCACIONAL</t>
  </si>
  <si>
    <t>ASISTENCIA COMERCIAL</t>
  </si>
  <si>
    <t>Institución</t>
  </si>
  <si>
    <t>Nombre</t>
  </si>
  <si>
    <t>Apellido</t>
  </si>
  <si>
    <t>Número de Cuenta</t>
  </si>
  <si>
    <t>ítem de Gasto (según Plan de Cuenta Institucional)</t>
  </si>
  <si>
    <t>Costos Fijos</t>
  </si>
  <si>
    <t>Costos Variables</t>
  </si>
  <si>
    <t>Costos Directos</t>
  </si>
  <si>
    <t>Costos Indirectos</t>
  </si>
  <si>
    <t>Centro de Costo</t>
  </si>
  <si>
    <t>Ingresos Totales</t>
  </si>
  <si>
    <t>INSTRUCCIONES</t>
  </si>
  <si>
    <t>ÍNDICE DE TABLAS</t>
  </si>
  <si>
    <t>Mensualidad</t>
  </si>
  <si>
    <t>Personal Servicio Activo Armada y otras FFAA</t>
  </si>
  <si>
    <t>En retiro</t>
  </si>
  <si>
    <t>Casos Especiales</t>
  </si>
  <si>
    <t>Ingreso por Matrícula</t>
  </si>
  <si>
    <t>Ingreso por Mensualidad</t>
  </si>
  <si>
    <t>Departamento de Informática</t>
  </si>
  <si>
    <t>Departamento de RR.HH.</t>
  </si>
  <si>
    <t>Departamento de Finanzas y Abastecimiento</t>
  </si>
  <si>
    <t>TOTAL GENERAL</t>
  </si>
  <si>
    <t>REMUNERACIONES TOTALES CÓDIGO DEL TRABAJO</t>
  </si>
  <si>
    <t>OTROS MATERIALES DE USO CONSUMO</t>
  </si>
  <si>
    <t>OTROS GASTOS IMPREVISTOS</t>
  </si>
  <si>
    <t>GASTOS MENORES (FOFI)</t>
  </si>
  <si>
    <t>MANT.Y REPAR. MOBILIARIO Y OTROS</t>
  </si>
  <si>
    <t>MANT.Y REPAR. DE EQUIPOS OFICINA</t>
  </si>
  <si>
    <t>MANT.Y REPAR. OTRAS MAQ. Y EQUIP.</t>
  </si>
  <si>
    <t>MANT.Y REPAR. EQUIPOS INFORMATICOS</t>
  </si>
  <si>
    <t>OTROS MANTEN. Y REPAR. MENORES</t>
  </si>
  <si>
    <t>SERVICIO DE MANTENCION JARDINES</t>
  </si>
  <si>
    <t>COSTO DIRECTO TOTAL</t>
  </si>
  <si>
    <t>Total Anual</t>
  </si>
  <si>
    <t>Costos Totales</t>
  </si>
  <si>
    <t>Reajuste propuesto</t>
  </si>
  <si>
    <t>TOTAL GENERAL COSTOS DIRECTOS</t>
  </si>
  <si>
    <t>COMPARACIÓN 1</t>
  </si>
  <si>
    <t>COMPARACIÓN 2</t>
  </si>
  <si>
    <t>% Distribución Costo Indirecto</t>
  </si>
  <si>
    <t>Excedentes</t>
  </si>
  <si>
    <t>Centro de Beneficio</t>
  </si>
  <si>
    <t>Costo Total Remuneraciones por Centro de Beneficio</t>
  </si>
  <si>
    <t>Total Bonos anual</t>
  </si>
  <si>
    <t>Total Aguinaldos anual</t>
  </si>
  <si>
    <t>Unidades de Apoyo Administrativo</t>
  </si>
  <si>
    <t>ADM. CENTRAL</t>
  </si>
  <si>
    <t>Otros</t>
  </si>
  <si>
    <t>APOYO ADM.</t>
  </si>
  <si>
    <t>Asistencia Educacional</t>
  </si>
  <si>
    <t xml:space="preserve">En esta hoja deberá incorporar toda la información, tablas y cálculos complementarios que permitan explicar y justificar sus proyecciones de ingresos y egresos, de acuerdo a los datos incorporados en las hojas anteriores.
</t>
  </si>
  <si>
    <t>(DEPTO./DELEG.)</t>
  </si>
  <si>
    <t>Reajuste en pesos ($)</t>
  </si>
  <si>
    <t>Reajuste en porcentaje (%)</t>
  </si>
  <si>
    <t>Ingreso por Escuela de Verano</t>
  </si>
  <si>
    <t>Media jornada</t>
  </si>
  <si>
    <r>
      <t xml:space="preserve">Con el objeto de medir comparativamente el bienestar otorgado al personal de la Armada, es necesario recabar antecedentes comparativos que permitan cuantificar las alternativas de precios que ofrece el mercado </t>
    </r>
    <r>
      <rPr>
        <b/>
        <u val="single"/>
        <sz val="10"/>
        <rFont val="Arial"/>
        <family val="2"/>
      </rPr>
      <t>dentro de la misma comuna en la que se encuentran los Jardines Infantiles (J.I.) y Salas Cunas (S.C.)</t>
    </r>
    <r>
      <rPr>
        <sz val="10"/>
        <rFont val="Arial"/>
        <family val="2"/>
      </rPr>
      <t xml:space="preserve"> de su Repartición. Este cuadro comparativo debe ser completado con, </t>
    </r>
    <r>
      <rPr>
        <b/>
        <u val="single"/>
        <sz val="10"/>
        <rFont val="Arial"/>
        <family val="2"/>
      </rPr>
      <t>A LO MENOS</t>
    </r>
    <r>
      <rPr>
        <sz val="10"/>
        <rFont val="Arial"/>
        <family val="2"/>
      </rPr>
      <t xml:space="preserve">, dos instituciones públicas o privadas </t>
    </r>
    <r>
      <rPr>
        <b/>
        <u val="single"/>
        <sz val="10"/>
        <rFont val="Arial"/>
        <family val="2"/>
      </rPr>
      <t>puedan considerarse como las principales competencias directas</t>
    </r>
    <r>
      <rPr>
        <sz val="10"/>
        <rFont val="Arial"/>
        <family val="2"/>
      </rPr>
      <t xml:space="preserve"> y que otorguen </t>
    </r>
    <r>
      <rPr>
        <b/>
        <u val="single"/>
        <sz val="10"/>
        <rFont val="Arial"/>
        <family val="2"/>
      </rPr>
      <t>prestaciones de calidad igual o similar</t>
    </r>
    <r>
      <rPr>
        <sz val="10"/>
        <rFont val="Arial"/>
        <family val="2"/>
      </rPr>
      <t xml:space="preserve"> a las brindadas por las instalaciones de este Departamento/Delegación.</t>
    </r>
  </si>
  <si>
    <t>Precio promedio mercado (ppm)</t>
  </si>
  <si>
    <t>SERVICIO DE SUSCRIPCION</t>
  </si>
  <si>
    <t>EQUIPOS COMPUTACIONALES</t>
  </si>
  <si>
    <t>Total Meta Ocupación</t>
  </si>
  <si>
    <t>Media Jornada</t>
  </si>
  <si>
    <t>Jardines Infantiles</t>
  </si>
  <si>
    <t>Salas Cunas</t>
  </si>
  <si>
    <t>PDI</t>
  </si>
  <si>
    <t>GENDARMERIA</t>
  </si>
  <si>
    <t>ÁREA APOYO A. EDUCACIONAL</t>
  </si>
  <si>
    <t>Nocturna</t>
  </si>
  <si>
    <t>ADMINISTRACIÓN CENTRAL</t>
  </si>
  <si>
    <t>COSTO  TOTAL</t>
  </si>
  <si>
    <t>% Respecto a Precio Promedio Mercado</t>
  </si>
  <si>
    <t>Depto. / Del.</t>
  </si>
  <si>
    <t>Tiempo Total</t>
  </si>
  <si>
    <t>$ Costo Total</t>
  </si>
  <si>
    <t>$Costo Total</t>
  </si>
  <si>
    <t>TABLA 1: RESUMEN DE INGRESOS Y EGRESOS DE CENTROS DE BENEFICIOS</t>
  </si>
  <si>
    <t>TABLA 2: DETALLE DE INGRESOS POR PRESTACIÓN Y SEGMENTO</t>
  </si>
  <si>
    <t>TABLA 3: REAJUSTE DE TARIFAS POR PRESTACIÓN Y SEGMENTO</t>
  </si>
  <si>
    <t>TABLA 4: METAS DE OCUPACIÓN POR PRESTACIÓN Y SEGMENTO</t>
  </si>
  <si>
    <t>Depto./ Del.</t>
  </si>
  <si>
    <t>TABLA 5: COSTOS DIRECTOS DE CENTROS DE BENEFICIOS</t>
  </si>
  <si>
    <t>TABLA 6: REMUNERACIONES DEL PERSONAL LEY 18.712 ADMINISTRACION CENTRAL Y APOYO ADMINISTRATIVO ASISTENCIA EDUCACIONAL</t>
  </si>
  <si>
    <t>TABLA 7: DISTRIBUCION COSTOS REMUNERACIONES ADMINISTRACION CENTRAL Y APOYO ADMINISTRATIVO A. EDUCACIONAL</t>
  </si>
  <si>
    <t>TABLA 8: COSTOS DE OPERACION ADMINISTRACIÓN CENTRAL Y  APOYO ADMINISTRATIVO ASISTENCIA EDUCACIONAL</t>
  </si>
  <si>
    <t>TABLA 9: RESUMEN DISTRIBUCION COSTOS REMUNERACIONES ADMINISTRACION CENTRAL Y APOYO ADMINISTRATIVO A. EDUCACIONAL</t>
  </si>
  <si>
    <t>TABLA 10: RESUMEN DISTRIBUCION COSTOS OPERACIÓN ADMINISTRACION CENTRAL  Y APOYO ADMINISTRATIVO A. EDUCACIONAL</t>
  </si>
  <si>
    <t>TABLA 11: FINANCIAMIENTO ADM. CENTRAL  Y APOYO ADMINISTRATIVO 
(REMUNERACIONES + COSTO OPERACIÓN)</t>
  </si>
  <si>
    <t>TABLA 12: RESUMEN DE TARIFADO</t>
  </si>
  <si>
    <t>TABLA 13: REMUNERACIONES DEL PERSONAL LEY 18.712 DE CENTROS DE BENEFICIOS</t>
  </si>
  <si>
    <t>TABLA 14: COMPARACIÓN TARIFAS CON PRECIOS DE MERCADO</t>
  </si>
  <si>
    <t>A) Resumen Ingresos y Egresos</t>
  </si>
  <si>
    <t>B) Reajuste Tarifas y Ocupación</t>
  </si>
  <si>
    <t>C) Costos Directos</t>
  </si>
  <si>
    <t>D) Costos Indirectos</t>
  </si>
  <si>
    <t>E) Resumen Tarifado</t>
  </si>
  <si>
    <t>F) Remuneraciones</t>
  </si>
  <si>
    <t>G) Comparación Mercado</t>
  </si>
  <si>
    <t>H) Detalle Datos</t>
  </si>
  <si>
    <t>SERVICIOS DE VIGILANCIA /SEGURIDAD</t>
  </si>
  <si>
    <t>SUPLENCIAS Y REEMPLAZOS (EC  oPAC)</t>
  </si>
  <si>
    <t xml:space="preserve"> INDEMNIZACIÓN CÓDIGO DEL TRABAJO</t>
  </si>
  <si>
    <t>OTRAS REMUNERACIONES (ALUMNOS EN PRACTICA)</t>
  </si>
  <si>
    <t>ALIMENTOS Y BEBIDAS (PERSONAL)</t>
  </si>
  <si>
    <t>ALIMENTOS Y BEBIDAS (NIÑOS)</t>
  </si>
  <si>
    <t>ALIMENTOS Y BEBIDAS (ALUMNOS EN PRÁCTICA)</t>
  </si>
  <si>
    <t>TEXTILES Y ACABADOS TEXTILES (CORTINAJE ROLLER, SACOS DE DORMIR, COBERTORES, ETC.)</t>
  </si>
  <si>
    <t>PARA CALEFACCION (CALDERAS, ESTUFAS, ETC)</t>
  </si>
  <si>
    <t>TEXTOS Y OTROS MAT.ENSEÑANZA</t>
  </si>
  <si>
    <t>EQUIPOS MENORES (EQUIPAMIENTO)</t>
  </si>
  <si>
    <t>SERVICIO DE SUSCRIPCION (MATERIAL DE APOYO)</t>
  </si>
  <si>
    <t>GASTOS MENORES (FOFI) DIRECTIVA DGFA N°02-DC/0201/22 FECHA ENERO 2009</t>
  </si>
  <si>
    <t>MAQUINAS Y EQUIPOS DE OFICINA (ADQUISICION)</t>
  </si>
  <si>
    <t>VESTUARIO ACC.Y PRENDAS DIVERSAS</t>
  </si>
  <si>
    <t>CALZADO E PERSONAL DE COCINA</t>
  </si>
  <si>
    <t>COM.DE SERVICIO EN EL PAIS (VIATICO - 2 REUNIONES ANUALES DIRECTORA)</t>
  </si>
  <si>
    <t>EQUIPOS COMPUTACIONALES (CAMARAS DE VIGILANCIA)</t>
  </si>
  <si>
    <t>OTROS SERVICIOS GENERALES (FUMIGACIÓN)</t>
  </si>
  <si>
    <t>OTROS ARRIENDOS (BUSES)</t>
  </si>
  <si>
    <t>SEGURO PARVULOS</t>
  </si>
  <si>
    <t>OTROS SERVICIOS GENERALES (LAVANDERIIA)</t>
  </si>
  <si>
    <t>MANT.Y REPAR. OTRAS MAQ. Y EQUIP. (COCINA)</t>
  </si>
  <si>
    <t>OTROS MANTEN. Y REPAR. MENORES (GASFITERIA Y ELECTRICIDAD)</t>
  </si>
  <si>
    <t>TOTAL</t>
  </si>
  <si>
    <t>A) RESUMEN DE INGRESOS Y EGRESOS</t>
  </si>
  <si>
    <t>B) REAJUSTE DE TARIFAS Y METAS DE OCUPACIÓN POR CENTRO DE BENEFICIO</t>
  </si>
  <si>
    <t>D) COSTOS INDIRECTOS ASISTENCIA EDUCACIONAL</t>
  </si>
  <si>
    <t>E) RESUMEN DE TARIFADO</t>
  </si>
  <si>
    <t>F) REMUNERACIONES DEL PERSONAL CÓDIGO DEL TRABAJO</t>
  </si>
  <si>
    <t>G) COMPARACIÓN TARIFAS CON PRECIOS DE MERCADO</t>
  </si>
  <si>
    <t>H) DETALLE DE DATOS COMPLEMENTARIOS</t>
  </si>
  <si>
    <t>ANEXO A</t>
  </si>
  <si>
    <t>ANEXO B</t>
  </si>
  <si>
    <t>ANEXO C</t>
  </si>
  <si>
    <t>ANEXO D</t>
  </si>
  <si>
    <t>ANEXO E</t>
  </si>
  <si>
    <t>ANEXO F</t>
  </si>
  <si>
    <t>ANEXO G</t>
  </si>
  <si>
    <t>Jardín Infantil Tortuguita Marina</t>
  </si>
  <si>
    <t xml:space="preserve">Doble Jornada </t>
  </si>
  <si>
    <t>Sala Cuna Burbujitas de Mar</t>
  </si>
  <si>
    <t>Jornada Completa Diurna</t>
  </si>
  <si>
    <t>Sala Cuna Burbujitas de Mar Diurna</t>
  </si>
  <si>
    <t>Sala Cuna Burbujitas de Mar Nocturna</t>
  </si>
  <si>
    <t xml:space="preserve">C) ESTIMACION DE COSTOS DIRECTOS </t>
  </si>
  <si>
    <t>Mensualidad 2021</t>
  </si>
  <si>
    <t>Jardín Infantil Burbujitas de Mar</t>
  </si>
  <si>
    <t>Jornada  Completa</t>
  </si>
  <si>
    <t>Gasto Total empresa</t>
  </si>
  <si>
    <t>SCN (20%)</t>
  </si>
  <si>
    <t>PRODUCTOS QUIMICOS (EXTINTOR)</t>
  </si>
  <si>
    <t>PROD.QUIMIC,FARMACEUTICOS IND. (BOTIQUIN)</t>
  </si>
  <si>
    <t>OTROS MANTEN. Y REP.MENORES</t>
  </si>
  <si>
    <t>CUOTA DE PADRES</t>
  </si>
  <si>
    <t xml:space="preserve"> </t>
  </si>
  <si>
    <t xml:space="preserve"> COSTOS DIRECTOS COMUNES  "BURBUJITAS DE MAR"</t>
  </si>
  <si>
    <t>AFL</t>
  </si>
  <si>
    <t>PAF</t>
  </si>
  <si>
    <t>JI
 (20%)</t>
  </si>
  <si>
    <t>SCD 
(60%)</t>
  </si>
  <si>
    <t>Matrícula 2022</t>
  </si>
  <si>
    <t>Mensualidad 2022</t>
  </si>
  <si>
    <t>Tarifa 2022</t>
  </si>
  <si>
    <t>Propuesta Mensualidad 2022</t>
  </si>
  <si>
    <t>Meta Ocupación niños 2022</t>
  </si>
  <si>
    <t>COSTO DIRECTO ESTIMADO 2022</t>
  </si>
  <si>
    <t>Costo Total por Servidor Reajustado 2022</t>
  </si>
  <si>
    <t>Costo Total anual por Servidor 2021</t>
  </si>
  <si>
    <t>REMUNERACIONES 2021</t>
  </si>
  <si>
    <t>COSTO INDIRECTO ESTIMADO 2022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</si>
  <si>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</si>
  <si>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</si>
  <si>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</si>
  <si>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</si>
  <si>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</si>
  <si>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</si>
  <si>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</si>
  <si>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</si>
  <si>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</si>
  <si>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</si>
  <si>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</si>
  <si>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</si>
  <si>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INGRESOS DE OPERACION</t>
  </si>
  <si>
    <t>REMUNERACIONES COD.DEL TRABAJO</t>
  </si>
  <si>
    <t>COSTOS  DE OPERACION</t>
  </si>
  <si>
    <t>BONOS CÓDIGO DEL TRABAJO</t>
  </si>
  <si>
    <t>I) Proyección mensual</t>
  </si>
  <si>
    <t>TABLA N°15: PROYECCIÓN MENSUAL</t>
  </si>
  <si>
    <t>MATRICULA</t>
  </si>
  <si>
    <t>PERSONAL</t>
  </si>
  <si>
    <t>ACUMULADO A DICIEMBRE</t>
  </si>
  <si>
    <t>RESULTADO OPERACIONAL</t>
  </si>
  <si>
    <t>Gasto Total empresa
2021</t>
  </si>
  <si>
    <t>Gasto Total empresa
2022</t>
  </si>
  <si>
    <t>BIENTALC</t>
  </si>
  <si>
    <t>Sala Cuna Brurbujita de Mar Diurna</t>
  </si>
  <si>
    <t>Sala Cuna Brurbujita de Mar Nocturna</t>
  </si>
  <si>
    <t>Erices Solar</t>
  </si>
  <si>
    <t>Juana</t>
  </si>
  <si>
    <t>Técnico en Párvulos</t>
  </si>
  <si>
    <t>Valeria</t>
  </si>
  <si>
    <t>Plaza</t>
  </si>
  <si>
    <t>Auxiliar de Aseo</t>
  </si>
  <si>
    <t>Veliz Gutierrez</t>
  </si>
  <si>
    <t>Francisca</t>
  </si>
  <si>
    <t>Educadora de Párvulos</t>
  </si>
  <si>
    <t>Buceta Medina</t>
  </si>
  <si>
    <t>Alessandra</t>
  </si>
  <si>
    <t>Muñoz Mora</t>
  </si>
  <si>
    <t>Sandra</t>
  </si>
  <si>
    <t>Pedreros Sancho</t>
  </si>
  <si>
    <t xml:space="preserve">Francsheska </t>
  </si>
  <si>
    <t>Sala Cuna</t>
  </si>
  <si>
    <t>Nuñez Riquelme</t>
  </si>
  <si>
    <t>Nadia</t>
  </si>
  <si>
    <t>Osses Miranda</t>
  </si>
  <si>
    <t>Nallar</t>
  </si>
  <si>
    <t>Pamela</t>
  </si>
  <si>
    <t>Escobar Castro</t>
  </si>
  <si>
    <t>Margarita</t>
  </si>
  <si>
    <t>Manipuladora de alimentos</t>
  </si>
  <si>
    <t>Diaz Figueroa</t>
  </si>
  <si>
    <t>Hidalgo Noccetti</t>
  </si>
  <si>
    <t>Leidy</t>
  </si>
  <si>
    <t>Arias Utreras</t>
  </si>
  <si>
    <t>Marianela Isabel</t>
  </si>
  <si>
    <t>Riffo Millanco</t>
  </si>
  <si>
    <t>Carla</t>
  </si>
  <si>
    <t>Ramírez lopez</t>
  </si>
  <si>
    <t>Liliana</t>
  </si>
  <si>
    <t>Maturana</t>
  </si>
  <si>
    <t>Yarlin</t>
  </si>
  <si>
    <t>Elsa Graciela</t>
  </si>
  <si>
    <t>Contanzo Montecinos</t>
  </si>
  <si>
    <t>Encargada de Presupuesto</t>
  </si>
  <si>
    <t>Roxana</t>
  </si>
  <si>
    <t>Correa Villa</t>
  </si>
  <si>
    <t>Cajera</t>
  </si>
  <si>
    <t xml:space="preserve">Amelia </t>
  </si>
  <si>
    <t>Garcia Arredondo</t>
  </si>
  <si>
    <t>Encargada de Tesorería</t>
  </si>
  <si>
    <t xml:space="preserve">Erika </t>
  </si>
  <si>
    <t>Groth  Vega</t>
  </si>
  <si>
    <t>Supervisora Contable</t>
  </si>
  <si>
    <t xml:space="preserve">Franco </t>
  </si>
  <si>
    <t>Hinojosa Canales</t>
  </si>
  <si>
    <t>Administrativo</t>
  </si>
  <si>
    <t>Maritza</t>
  </si>
  <si>
    <t>Mellado Medina</t>
  </si>
  <si>
    <t>Operadora sistema Activo</t>
  </si>
  <si>
    <t xml:space="preserve">Roxana </t>
  </si>
  <si>
    <t>Muñoz Cruces</t>
  </si>
  <si>
    <t xml:space="preserve">Antonio </t>
  </si>
  <si>
    <t>Toledo Araneda</t>
  </si>
  <si>
    <t xml:space="preserve">Lilian </t>
  </si>
  <si>
    <t>Garcia Ponce</t>
  </si>
  <si>
    <t>Encargado RR.HH.</t>
  </si>
  <si>
    <t xml:space="preserve">Daniela </t>
  </si>
  <si>
    <t>Golle Perez</t>
  </si>
  <si>
    <t xml:space="preserve">Luis </t>
  </si>
  <si>
    <t>Garrido Miranda</t>
  </si>
  <si>
    <t>Ramon</t>
  </si>
  <si>
    <t>Delgado Ramirez</t>
  </si>
  <si>
    <t>Prevencionista de Riesgo</t>
  </si>
  <si>
    <t xml:space="preserve">Jorge </t>
  </si>
  <si>
    <t>Ramirez Sepulveda</t>
  </si>
  <si>
    <t>Encargado mantención informática</t>
  </si>
  <si>
    <t>Hector</t>
  </si>
  <si>
    <t>Valencia Coronado</t>
  </si>
  <si>
    <t>Encargado Contratos Adq.</t>
  </si>
  <si>
    <t>Javier</t>
  </si>
  <si>
    <t>Niño Rubilar</t>
  </si>
  <si>
    <t>Encargado Infraestructura</t>
  </si>
  <si>
    <t xml:space="preserve">Carlos </t>
  </si>
  <si>
    <t>Rojas Solar</t>
  </si>
  <si>
    <t>Planes y Gestión</t>
  </si>
  <si>
    <t xml:space="preserve">Silvya </t>
  </si>
  <si>
    <t>Soto Villegas</t>
  </si>
  <si>
    <t>Auditoría Interna</t>
  </si>
  <si>
    <t xml:space="preserve">Jaime </t>
  </si>
  <si>
    <t>Ramos Morales</t>
  </si>
  <si>
    <t>Jaenette</t>
  </si>
  <si>
    <t>Retamal Mendoza</t>
  </si>
  <si>
    <t>ASISTENCIA JUR.</t>
  </si>
  <si>
    <t>NR</t>
  </si>
  <si>
    <t>Dias Mes</t>
  </si>
  <si>
    <t>Total C/U</t>
  </si>
  <si>
    <t>DESC.</t>
  </si>
  <si>
    <t>TOTAL  COSTO</t>
  </si>
  <si>
    <t>Total E.P.</t>
  </si>
  <si>
    <t>Total Mes</t>
  </si>
  <si>
    <t>SUB Total  Anual</t>
  </si>
  <si>
    <t>DIST. ADM.</t>
  </si>
  <si>
    <t>Sala Cuna Dia</t>
  </si>
  <si>
    <t>20</t>
  </si>
  <si>
    <t>Sala Cuna Nocturna</t>
  </si>
  <si>
    <t>15</t>
  </si>
  <si>
    <t>COMPORTAMIENTO</t>
  </si>
  <si>
    <t>Raciones Sala cuna Dia</t>
  </si>
  <si>
    <t>Raciones Sala cuna Noche</t>
  </si>
  <si>
    <t>ANUAL</t>
  </si>
  <si>
    <t>Anual</t>
  </si>
  <si>
    <t>COMP. ENERO - AGOSTO</t>
  </si>
  <si>
    <t>PROY. SEPT - DIC</t>
  </si>
  <si>
    <t xml:space="preserve">TOTAL RACIONES </t>
  </si>
  <si>
    <t>COSTO UNITARIO</t>
  </si>
  <si>
    <t>SALA</t>
  </si>
  <si>
    <t>REAL 2018</t>
  </si>
  <si>
    <t>REAL  2019</t>
  </si>
  <si>
    <t xml:space="preserve">REAL 2020 </t>
  </si>
  <si>
    <t>CUNA</t>
  </si>
  <si>
    <t>KW</t>
  </si>
  <si>
    <t>VALOR</t>
  </si>
  <si>
    <t xml:space="preserve">CUNA </t>
  </si>
  <si>
    <t>M3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</si>
  <si>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</si>
  <si>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</si>
  <si>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</si>
  <si>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</si>
  <si>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</si>
  <si>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</si>
  <si>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</si>
  <si>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</si>
  <si>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</si>
  <si>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</si>
  <si>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</si>
  <si>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</si>
  <si>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</si>
  <si>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ta</t>
  </si>
  <si>
    <t>tb</t>
  </si>
  <si>
    <t>total</t>
  </si>
  <si>
    <t>REAL 2020</t>
  </si>
  <si>
    <t>CFO</t>
  </si>
  <si>
    <t>C. DE COSTO</t>
  </si>
  <si>
    <t>VALOR INIC.</t>
  </si>
  <si>
    <t xml:space="preserve">SUBTOTAL </t>
  </si>
  <si>
    <t xml:space="preserve">La tarifa considera situación actual referente a personal de Educadoras de Párvulos que pertenecen  a la Institución, personal de planta Empleadas </t>
  </si>
  <si>
    <t>2022</t>
  </si>
  <si>
    <t xml:space="preserve">Jardin Sala Cuna </t>
  </si>
  <si>
    <t>Nr. Raciones</t>
  </si>
  <si>
    <t>Silvana</t>
  </si>
  <si>
    <t>Mena Meriño</t>
  </si>
  <si>
    <t>Asistente de la Educ.Parvulos</t>
  </si>
  <si>
    <t>XXXXXXXXXX</t>
  </si>
  <si>
    <t>XXXXXXXX</t>
  </si>
  <si>
    <t>REAL ENE.- JUL. Y PROY. A DIC. 2021</t>
  </si>
  <si>
    <t>PROYECCION 2022</t>
  </si>
  <si>
    <t xml:space="preserve">IPC </t>
  </si>
  <si>
    <t>3) Consumos Básicos</t>
  </si>
  <si>
    <t>2) Calculo raconamiento Párvulos 2022</t>
  </si>
  <si>
    <t>PROY. 2022</t>
  </si>
  <si>
    <t>Promedio Ocupación  2021 (15)</t>
  </si>
  <si>
    <t>Prom. Ocupación  2021 (25)</t>
  </si>
  <si>
    <t>ENERO - DICIEMBRE</t>
  </si>
  <si>
    <t>TOTAL GASTO 2021</t>
  </si>
  <si>
    <t>Raciones Sala Cuna Noche</t>
  </si>
  <si>
    <t>Raciones Sala Cuna Dia</t>
  </si>
  <si>
    <t>ENERO - DIC.</t>
  </si>
  <si>
    <t>Raciones Jardín Inf. 1/2  Jornada</t>
  </si>
  <si>
    <t>Raciones Jardín Inf. Jornada Completa</t>
  </si>
  <si>
    <t>PROYECCION  SEGUROS  AÑO 2022</t>
  </si>
  <si>
    <t>1) Calculo gasto Alimentacion del personal 2022</t>
  </si>
  <si>
    <t>en los gastos por concepto de remuneraciones en centro de costo afectado.</t>
  </si>
  <si>
    <t xml:space="preserve">Civiles, de haber cambios por proceso de trasbordo, con la disminución o aumento de este tipo de personal para este Departamento, implicaría variación </t>
  </si>
  <si>
    <t>Villa</t>
  </si>
  <si>
    <t>JI The Baby School (Thno.)</t>
  </si>
  <si>
    <t>JI Mis Travesuras (Thno.)</t>
  </si>
  <si>
    <t>SC The baby School (Thno.)</t>
  </si>
  <si>
    <t>SC Mis Travesuras (Thno.)</t>
  </si>
  <si>
    <t>a) Sala  Cuna (todas sus dependencias).</t>
  </si>
  <si>
    <t>b) Jardín Infantil Tortuguita Marina.</t>
  </si>
  <si>
    <t>1.- Unidad de medida  Consumos de Agua en Bidones de 20 litros</t>
  </si>
  <si>
    <t>2.- Unidad de medida  de gas  en Cilindros de gas  de 45 Kilos</t>
  </si>
  <si>
    <t>5) Notas Generales</t>
  </si>
  <si>
    <t>4) Proyeccion gastos seguros inmuebles de acuerdo a valor real  cancelado en año anteriores.</t>
  </si>
  <si>
    <t>ya se esta considerando gas para estufas</t>
  </si>
  <si>
    <t>Sin reemplazo. De acuerdo proyecciondebe liberarse 1 educ.</t>
  </si>
  <si>
    <t>María Luisa</t>
  </si>
  <si>
    <t>Mendoza</t>
  </si>
  <si>
    <t>6) Justificación de proyección de ocupación de S. C. Nocturna.</t>
  </si>
  <si>
    <t>Históticamnete la ocupación de la S.C. Nocturna es 10 niños menos que la S. C. Diurna.</t>
  </si>
  <si>
    <t>7) Costos Directos:</t>
  </si>
  <si>
    <t>Jardín Infantil Y Sala Cuna "Burbujitas de Mar":</t>
  </si>
  <si>
    <t>Estas justificaciones y detalles se harán por los 3 centros de costos, ya que se distribuyen los gastos en el cuadro que DIREBIEN envía.</t>
  </si>
  <si>
    <t>a) Textiles y acabados: Cambio de cortinas roller.</t>
  </si>
  <si>
    <t>b) Para calefacción: Cambio de bombonas y caldera, por encontarse en mal estado, avalado por Informe Técnico.</t>
  </si>
  <si>
    <t>c) Prod. Químicos: Recarga anual de extintores.</t>
  </si>
  <si>
    <t>grifería en general, sifones, flaper, pasta muro, pintura, entre otros.</t>
  </si>
  <si>
    <t>e) Equipos menores: Construcción de bodega, que actualmente es indispensable, ya que con la implementación del baño universal, se quedó sin pañol de aseo</t>
  </si>
  <si>
    <t>y además no hay donde guardar cunas, camas apilables, muebeles, entre otros.</t>
  </si>
  <si>
    <t>g) Mobiliario y otros: 2 sillas de computación.</t>
  </si>
  <si>
    <t>i) Otras mantenciones y reparaciones: Plan de mantención enviado.</t>
  </si>
  <si>
    <t>j) Calzado cocina en S.C. Diurna: Corresponde a 1 manipuladora de alimentos y 1 auxiliar de aseo.</t>
  </si>
  <si>
    <t>l) Equipos computacionales: 01 impresora y tintas.</t>
  </si>
  <si>
    <t>m) Textos y otros materiales de enseñanza: Se adjunta listado con material didáctico.</t>
  </si>
  <si>
    <t>8) Remuneraciones - Cantidad de Personal:</t>
  </si>
  <si>
    <t>d) Calzado: concepto coresponde a compra para auxiliar de aseo.</t>
  </si>
  <si>
    <t>a) J.I. "Burbujitas de Mar": 1 Educadora de Párvulos Armada (Francisca Ortúzar, 2 Técnicos y 1 Manip. De alim.).</t>
  </si>
  <si>
    <t>b) S.C. diurna "Burbujitas de Mar": 2 Educadoras de Párvulos, 4 Técnicos, 1 manip. De alim. Y 1 Aux. de Aseo).</t>
  </si>
  <si>
    <t>b) Para determinra los gastos de sostenimiento de administración Central, y determinar  el monto  aplicar a las estructuras de costo para el periodo 2022</t>
  </si>
  <si>
    <t xml:space="preserve">a) La distribución de costos indirectos no solo considera los gastos de personal de Adminstración Central,  sino el sostenimiento integral del centro de </t>
  </si>
  <si>
    <t xml:space="preserve">para las  el área recreativa,  educacional y Comercial, se ha utilizado el conmportamiento  historico, utilizando el promedio de los gastos incurridos en el </t>
  </si>
  <si>
    <t xml:space="preserve">d) S.C. Nocturna "Burbujitas de Mar": La cantidad de personal establecida, es la necesaria para cubrir larga, guardia cada 4 días, ya que el Hospitl Naval, </t>
  </si>
  <si>
    <t>posiblemente, solicite esta modalidad. Información entregada por Suboficial a cargo de Recursos Humanos y sujeta a confirmación.</t>
  </si>
  <si>
    <t>de Katty Martinez, que se encuentra con un embarazo de 8 semanas.</t>
  </si>
  <si>
    <t xml:space="preserve">c) Están ingresadas 2 Educ. de Parv. En la planilla (Katty Martínez, que se encuentra con licencia mèdica preventiva parental y M. Luisa Mendoza, reemplazo </t>
  </si>
  <si>
    <t>calzado, alcohol ges, entre otras.</t>
  </si>
  <si>
    <t xml:space="preserve">k) Materiales de aseo: Materiales de aseo para el establecimiento y material protección covid, como son, delantal plástico, cofia, mascarillas, protector de </t>
  </si>
  <si>
    <t>Bienestar Social y además, por recomendación de la Subsecretaría de Salud del Bío Bio.</t>
  </si>
  <si>
    <t xml:space="preserve">h) Fumigación: Se realiza 1 fumigación, desratización y sanitización en forma mensual, por indicación de la Prevencionista de Riesgos del Departamento de </t>
  </si>
  <si>
    <t>techumbre, grifería en general, sifones, flaper, pasta muro, pintura, entre otros.</t>
  </si>
  <si>
    <t xml:space="preserve">d) Material para mant y rep: Materiales para efectuar mantenciones y reparaciones de contingencia que se efectúan anualmente, por ejemplo, silicona para sellar </t>
  </si>
  <si>
    <t>alcohol gel, entre otros.</t>
  </si>
  <si>
    <t>de $100.000 y que de acuerdo a reglamento se rinde y  repone una vez al mes.</t>
  </si>
  <si>
    <t>costo de Administración Central, lo que incorpora todos los gasto en que incurre este centro de costo durante unj ejercicio contable.</t>
  </si>
  <si>
    <t>periodo 2015-2020 para todos los conceptos de gastos. Promedio calculado se presenta actualizado por factor 5,7%.</t>
  </si>
  <si>
    <t>se habilita  1 Fondo Fijo  de $300.000 y que de acuerdo a reglamento se rinde y  repone 1una vez al mes.</t>
  </si>
  <si>
    <t xml:space="preserve">b) Monto del gasto considerado como gastos menor corresponde a promedio de utilización Fondo Fijo del periodo 2015-2020. en centro de costo Sala Cuna </t>
  </si>
  <si>
    <t>María Jesús</t>
  </si>
  <si>
    <t>Romero Aguilar</t>
  </si>
  <si>
    <t>8) Costos Indirectos:</t>
  </si>
  <si>
    <t>b) Material para mant y rep: Materiales para efectuar mantenciones y reparaciones  de contingencia que se efectúan anualmente, por ejemplo, silicona para sellar techumbre,</t>
  </si>
  <si>
    <t>a) Suplencias y reemplazos: Corresponde a item para efectuar exámenes psicológicos de postulantes a reemplazos o cargos que se den en el año.</t>
  </si>
  <si>
    <t>c) Monto considerado  corresponde  a promedio de utilización Fondo Fijo del periodo 2015-2020. en centro de costo Jardín  Isla Quiriquina,  se habilita 1 Fondo Fijo de</t>
  </si>
  <si>
    <t>e) Máquinas y equipos de oficina: 1 termolaminadora.</t>
  </si>
  <si>
    <t>f) Materiales de aseo: Materiales de aseo para el establecimiento y material protección covid, como son, delantal plástico, cofia, mascarillas, protector de calzado,</t>
  </si>
  <si>
    <t>g) Mobiliario y otros:  1 mesa de arrimo, para control de temperatura y registro covid.</t>
  </si>
  <si>
    <t>h) Textos y otros materiales de enseñanza: Se adjunta listado con material didáctico.</t>
  </si>
  <si>
    <t>Jardin Infantil Burbujitas</t>
  </si>
  <si>
    <t>sala cuna burbujitas de mar</t>
  </si>
  <si>
    <t>licencias intermitentes</t>
  </si>
  <si>
    <t>licencia medica por embarazo.</t>
  </si>
  <si>
    <t>mensual</t>
  </si>
  <si>
    <t>EPP y aseo</t>
  </si>
  <si>
    <t xml:space="preserve">se modifican los valores de bonos y agunaldos </t>
  </si>
  <si>
    <t xml:space="preserve">relacionado  con gastos de la infraestructura administrativa de este Departamento. </t>
  </si>
  <si>
    <t>Consumo de agua   oficinas Edificio Central.</t>
  </si>
  <si>
    <t>Consumo de electricidad  oficinas Edificio Central</t>
  </si>
  <si>
    <t>Consumo de gas Edificio Central.</t>
  </si>
  <si>
    <t>Estos  Fofis se encuentra centralizados en Adm. Central y absorben gastos de todas las Areas del Departamento.</t>
  </si>
  <si>
    <t>Nota : A asistencia Educacional le corresponde  solo el 9% del total de distribucion  de estos gastos</t>
  </si>
  <si>
    <t xml:space="preserve">Gonzalez Nuñez </t>
  </si>
  <si>
    <t>Catalina</t>
  </si>
  <si>
    <t xml:space="preserve">Acuña Parra </t>
  </si>
  <si>
    <t>Fernanda</t>
  </si>
  <si>
    <t xml:space="preserve">Monares Manzo </t>
  </si>
  <si>
    <t>Valentina</t>
  </si>
  <si>
    <t>Considera Finiquito Sra Nallar Osses.</t>
  </si>
  <si>
    <t>Proy. Ocup. 2022 (45)</t>
  </si>
  <si>
    <t>Proy. Ocup. 2022 (16)</t>
  </si>
  <si>
    <t>Proy. Ocup. 2022 (1)</t>
  </si>
  <si>
    <t>Proy. Ocup. 2022 (24)</t>
  </si>
  <si>
    <t>MAT. DE USO  CONS. CTE. COMP.</t>
  </si>
  <si>
    <t>Compra licencias  Computacionales</t>
  </si>
  <si>
    <t>Valor de Racionamiento corresponde a costo de traspaso interno $2.000 por ración la cual se confecciona en  Club de Campo.</t>
  </si>
  <si>
    <t>Exámenes psicologicos para reemplazos</t>
  </si>
  <si>
    <t>Manipuladora y auxiliar aseo</t>
  </si>
  <si>
    <t>ACT. 7,2%</t>
  </si>
  <si>
    <t>Mantencion  General de las instalaciones administrativas.</t>
  </si>
  <si>
    <t>Para año 2022 no tiene FOFI asignado, su gastos menores se ejecutan  a través de FOFI  Ad. Central</t>
  </si>
  <si>
    <t>Examenes psicologicos</t>
  </si>
  <si>
    <t>se modifica cantidad de niños de 20 a 26</t>
  </si>
  <si>
    <t>falta calzado para manipuladora</t>
  </si>
  <si>
    <t>se eliminan ocupación de escuela de verano en ji burbujitas y tortuguita</t>
  </si>
  <si>
    <t>no hacen uso del beneficio pagado de alimentación</t>
  </si>
  <si>
    <t>se modifica proyección promedio de niños de 45 a 42</t>
  </si>
  <si>
    <t>se modifica cant niños nocturna a 29 y diurna a 42</t>
  </si>
  <si>
    <t>se eliminan aguinaldos y se agregan bonos ya que personal cuenta con contrato a nov 2022</t>
  </si>
  <si>
    <t xml:space="preserve">Se modifica valor mensual </t>
  </si>
  <si>
    <t>l</t>
  </si>
</sst>
</file>

<file path=xl/styles.xml><?xml version="1.0" encoding="utf-8"?>
<styleSheet xmlns="http://schemas.openxmlformats.org/spreadsheetml/2006/main">
  <numFmts count="5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\$* #,##0.00_-;&quot;-$&quot;* #,##0.00_-;_-\$* \-??_-;_-@_-"/>
    <numFmt numFmtId="181" formatCode="\$#,##0_);&quot;($&quot;#,##0\)"/>
    <numFmt numFmtId="182" formatCode="_-&quot;$ &quot;* #,##0_-;&quot;-$ &quot;* #,##0_-;_-&quot;$ &quot;* \-_-;_-@_-"/>
    <numFmt numFmtId="183" formatCode="0\ %"/>
    <numFmt numFmtId="184" formatCode="0.0%"/>
    <numFmt numFmtId="185" formatCode="#,##0_ ;[Red]\-#,##0\ "/>
    <numFmt numFmtId="186" formatCode="_-* #,##0.00_-;\-* #,##0.00_-;_-* \-??_-;_-@_-"/>
    <numFmt numFmtId="187" formatCode="_-\ * #,##0_-;&quot;$ &quot;* #,##0_-;_-\ * \-_-;_-@_-"/>
    <numFmt numFmtId="188" formatCode="_-* #,##0.0_-;\-* #,##0.0_-;_-* \-??_-;_-@_-"/>
    <numFmt numFmtId="189" formatCode="_(* #,##0_);_(* \(#,##0\);_(* \-_);_(@_)"/>
    <numFmt numFmtId="190" formatCode="_-* #,##0_-;\-* #,##0_-;_-* \-??_-;_-@_-"/>
    <numFmt numFmtId="191" formatCode="&quot;$&quot;\ #,##0"/>
    <numFmt numFmtId="192" formatCode="_-&quot;$&quot;* #,##0_-;\-&quot;$&quot;* #,##0_-;_-&quot;$&quot;* &quot;-&quot;??_-;_-@_-"/>
    <numFmt numFmtId="193" formatCode="#,##0_ ;\-#,##0\ "/>
    <numFmt numFmtId="194" formatCode="0.00\ %"/>
    <numFmt numFmtId="195" formatCode="_-\$* #,##0_-;&quot;-$&quot;* #,##0_-;_-\$* \-??_-;_-@_-"/>
    <numFmt numFmtId="196" formatCode="_-[$$-340A]\ * #,##0_-;\-[$$-340A]\ * #,##0_-;_-[$$-340A]\ * &quot;-&quot;??_-;_-@_-"/>
    <numFmt numFmtId="197" formatCode="_-[$€]* #,##0.00_-;\-[$€]* #,##0.00_-;_-[$€]* &quot;-&quot;??_-;_-@_-"/>
    <numFmt numFmtId="198" formatCode="_-[$€-2]\ * #,##0.00_-;\-[$€-2]\ * #,##0.00_-;_-[$€-2]\ * &quot;-&quot;??_-"/>
    <numFmt numFmtId="199" formatCode="_-&quot;$&quot;\ * #,##0_-;\-&quot;$&quot;\ * #,##0_-;_-&quot;$&quot;\ * &quot;-&quot;??_-;_-@_-"/>
    <numFmt numFmtId="200" formatCode="_-* #,##0_-;\-* #,##0_-;_-* &quot;-&quot;??_-;_-@_-"/>
    <numFmt numFmtId="201" formatCode="0.0000"/>
    <numFmt numFmtId="202" formatCode="0.000"/>
    <numFmt numFmtId="203" formatCode="0.0"/>
    <numFmt numFmtId="204" formatCode="&quot;$&quot;\ #,##0.0"/>
    <numFmt numFmtId="205" formatCode="&quot;$&quot;\ #,##0.00"/>
  </numFmts>
  <fonts count="82">
    <font>
      <sz val="10"/>
      <name val="Arial"/>
      <family val="2"/>
    </font>
    <font>
      <sz val="11"/>
      <color indexed="8"/>
      <name val="Calibri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Verdana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u val="single"/>
      <sz val="12"/>
      <color indexed="12"/>
      <name val="Arial"/>
      <family val="2"/>
    </font>
    <font>
      <b/>
      <sz val="10"/>
      <color indexed="8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2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b/>
      <sz val="10.5"/>
      <color indexed="8"/>
      <name val="Arial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 val="single"/>
      <sz val="12"/>
      <color rgb="FF0000CC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b/>
      <sz val="12"/>
      <color theme="0"/>
      <name val="Arial"/>
      <family val="2"/>
    </font>
    <font>
      <b/>
      <sz val="10"/>
      <color rgb="FF000099"/>
      <name val="Arial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8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rgb="FFFFFF00"/>
      </patternFill>
    </fill>
    <fill>
      <patternFill patternType="gray125">
        <bgColor theme="3" tint="0.799950003623962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gray125">
        <bgColor theme="4" tint="0.5999900102615356"/>
      </patternFill>
    </fill>
    <fill>
      <patternFill patternType="gray125">
        <bgColor theme="0" tint="-0.149959996342659"/>
      </patternFill>
    </fill>
    <fill>
      <patternFill patternType="gray125">
        <bgColor indexed="9"/>
      </patternFill>
    </fill>
    <fill>
      <patternFill patternType="gray125">
        <fgColor indexed="24"/>
        <bgColor theme="4" tint="0.5999900102615356"/>
      </patternFill>
    </fill>
    <fill>
      <patternFill patternType="gray125">
        <bgColor theme="0"/>
      </patternFill>
    </fill>
    <fill>
      <patternFill patternType="gray125">
        <bgColor theme="5" tint="0.39998000860214233"/>
      </patternFill>
    </fill>
    <fill>
      <patternFill patternType="gray125">
        <bgColor theme="5" tint="0.7999799847602844"/>
      </patternFill>
    </fill>
    <fill>
      <patternFill patternType="solid">
        <fgColor theme="9" tint="-0.24997000396251678"/>
        <bgColor indexed="64"/>
      </patternFill>
    </fill>
    <fill>
      <patternFill patternType="gray125">
        <bgColor theme="3" tint="0.39998000860214233"/>
      </patternFill>
    </fill>
    <fill>
      <patternFill patternType="solid">
        <fgColor theme="5" tint="0.3999499976634979"/>
        <bgColor indexed="64"/>
      </patternFill>
    </fill>
    <fill>
      <patternFill patternType="gray125">
        <bgColor theme="5" tint="0.7999200224876404"/>
      </patternFill>
    </fill>
    <fill>
      <patternFill patternType="gray125">
        <bgColor theme="5" tint="0.3999499976634979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69D8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</fills>
  <borders count="1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rgb="FF0070C0"/>
      </left>
      <right style="thin">
        <color rgb="FF0070C0"/>
      </right>
      <top/>
      <bottom style="thin">
        <color rgb="FF0070C0"/>
      </bottom>
    </border>
    <border>
      <left style="thin"/>
      <right style="thin"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/>
      <right/>
      <top style="thin">
        <color indexed="8"/>
      </top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/>
      <right style="medium"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 style="thin"/>
      <right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/>
      <right style="medium"/>
      <top style="thin">
        <color indexed="8"/>
      </top>
      <bottom style="medium"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/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>
        <color theme="4" tint="0.39998000860214233"/>
      </bottom>
    </border>
    <border>
      <left style="medium"/>
      <right/>
      <top style="thin">
        <color indexed="8"/>
      </top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medium"/>
      <right>
        <color indexed="63"/>
      </right>
      <top/>
      <bottom style="thin"/>
    </border>
    <border>
      <left style="medium"/>
      <right/>
      <top style="thin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/>
      <top style="thin">
        <color indexed="8"/>
      </top>
      <bottom/>
    </border>
    <border>
      <left/>
      <right style="thin">
        <color indexed="8"/>
      </right>
      <top style="thin"/>
      <bottom style="medium"/>
    </border>
    <border>
      <left style="thin">
        <color indexed="8"/>
      </left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/>
      <top/>
      <bottom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/>
      <right style="thin">
        <color indexed="8"/>
      </right>
      <top style="medium"/>
      <bottom/>
    </border>
    <border>
      <left style="medium"/>
      <right style="medium"/>
      <top/>
      <bottom/>
    </border>
    <border>
      <left style="thin">
        <color indexed="8"/>
      </left>
      <right/>
      <top style="medium"/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/>
      <right style="thin"/>
      <top/>
      <bottom/>
    </border>
    <border>
      <left style="thin">
        <color indexed="8"/>
      </left>
      <right/>
      <top/>
      <bottom style="medium"/>
    </border>
    <border>
      <left/>
      <right style="thin"/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medium"/>
      <right style="thin">
        <color indexed="8"/>
      </right>
      <top/>
      <bottom style="medium"/>
    </border>
    <border>
      <left/>
      <right style="thin"/>
      <top/>
      <bottom style="thin">
        <color indexed="8"/>
      </bottom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/>
    </border>
    <border>
      <left/>
      <right/>
      <top style="medium"/>
      <bottom style="thin">
        <color indexed="8"/>
      </bottom>
    </border>
    <border>
      <left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/>
      <top style="medium"/>
      <bottom style="thin">
        <color indexed="8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60" fillId="33" borderId="1" applyNumberFormat="0" applyAlignment="0" applyProtection="0"/>
    <xf numFmtId="0" fontId="10" fillId="34" borderId="0" applyNumberFormat="0" applyBorder="0" applyAlignment="0" applyProtection="0"/>
    <xf numFmtId="197" fontId="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6" borderId="0" applyNumberFormat="0" applyBorder="0" applyAlignment="0" applyProtection="0"/>
    <xf numFmtId="186" fontId="0" fillId="0" borderId="0">
      <alignment/>
      <protection/>
    </xf>
    <xf numFmtId="41" fontId="0" fillId="0" borderId="0" applyFont="0" applyFill="0" applyBorder="0" applyAlignment="0" applyProtection="0"/>
    <xf numFmtId="186" fontId="0" fillId="0" borderId="0" applyFill="0" applyBorder="0" applyAlignment="0" applyProtection="0"/>
    <xf numFmtId="171" fontId="52" fillId="0" borderId="0" applyFont="0" applyFill="0" applyBorder="0" applyAlignment="0" applyProtection="0"/>
    <xf numFmtId="180" fontId="0" fillId="0" borderId="0">
      <alignment/>
      <protection/>
    </xf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ill="0" applyBorder="0" applyAlignment="0" applyProtection="0"/>
    <xf numFmtId="0" fontId="8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38" borderId="5" applyNumberFormat="0" applyFont="0" applyAlignment="0" applyProtection="0"/>
    <xf numFmtId="0" fontId="5" fillId="37" borderId="6" applyNumberFormat="0" applyAlignment="0" applyProtection="0"/>
    <xf numFmtId="183" fontId="0" fillId="0" borderId="0">
      <alignment/>
      <protection/>
    </xf>
    <xf numFmtId="9" fontId="0" fillId="0" borderId="0" applyFill="0" applyBorder="0" applyAlignment="0" applyProtection="0"/>
    <xf numFmtId="0" fontId="63" fillId="25" borderId="7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59" fillId="0" borderId="9" applyNumberFormat="0" applyFill="0" applyAlignment="0" applyProtection="0"/>
    <xf numFmtId="0" fontId="68" fillId="0" borderId="10" applyNumberFormat="0" applyFill="0" applyAlignment="0" applyProtection="0"/>
    <xf numFmtId="0" fontId="9" fillId="0" borderId="0" applyNumberFormat="0" applyFill="0" applyBorder="0" applyAlignment="0" applyProtection="0"/>
  </cellStyleXfs>
  <cellXfs count="1120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83" fontId="0" fillId="0" borderId="0" xfId="79" applyFo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9" borderId="11" xfId="0" applyFont="1" applyFill="1" applyBorder="1" applyAlignment="1" applyProtection="1">
      <alignment horizontal="center" vertical="center" wrapText="1"/>
      <protection/>
    </xf>
    <xf numFmtId="0" fontId="13" fillId="39" borderId="12" xfId="0" applyFont="1" applyFill="1" applyBorder="1" applyAlignment="1" applyProtection="1">
      <alignment horizontal="center" vertical="center" wrapText="1"/>
      <protection/>
    </xf>
    <xf numFmtId="0" fontId="13" fillId="39" borderId="11" xfId="0" applyFont="1" applyFill="1" applyBorder="1" applyAlignment="1" applyProtection="1">
      <alignment horizontal="center" vertical="center"/>
      <protection/>
    </xf>
    <xf numFmtId="0" fontId="13" fillId="40" borderId="0" xfId="0" applyFont="1" applyFill="1" applyBorder="1" applyAlignment="1" applyProtection="1">
      <alignment horizontal="left" vertical="center"/>
      <protection/>
    </xf>
    <xf numFmtId="182" fontId="13" fillId="40" borderId="0" xfId="66" applyNumberFormat="1" applyFont="1" applyFill="1" applyBorder="1" applyAlignment="1" applyProtection="1">
      <alignment vertical="center"/>
      <protection/>
    </xf>
    <xf numFmtId="180" fontId="13" fillId="0" borderId="0" xfId="66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185" fontId="13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182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180" fontId="0" fillId="0" borderId="0" xfId="66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83" fontId="14" fillId="0" borderId="0" xfId="79" applyFont="1" applyBorder="1" applyAlignment="1" applyProtection="1">
      <alignment vertical="center"/>
      <protection/>
    </xf>
    <xf numFmtId="188" fontId="0" fillId="0" borderId="0" xfId="62" applyNumberFormat="1" applyFont="1" applyFill="1" applyBorder="1" applyAlignment="1" applyProtection="1">
      <alignment vertical="center"/>
      <protection/>
    </xf>
    <xf numFmtId="183" fontId="0" fillId="0" borderId="0" xfId="79" applyFont="1" applyFill="1" applyProtection="1">
      <alignment/>
      <protection/>
    </xf>
    <xf numFmtId="0" fontId="0" fillId="41" borderId="0" xfId="0" applyFont="1" applyFill="1" applyBorder="1" applyAlignment="1" applyProtection="1">
      <alignment horizontal="left" vertical="center"/>
      <protection/>
    </xf>
    <xf numFmtId="191" fontId="0" fillId="41" borderId="0" xfId="0" applyNumberFormat="1" applyFont="1" applyFill="1" applyBorder="1" applyAlignment="1" applyProtection="1">
      <alignment horizontal="right" vertical="center"/>
      <protection/>
    </xf>
    <xf numFmtId="0" fontId="0" fillId="41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" fontId="69" fillId="0" borderId="0" xfId="0" applyNumberFormat="1" applyFont="1" applyFill="1" applyBorder="1" applyAlignment="1" applyProtection="1">
      <alignment horizontal="center" vertical="center" wrapText="1"/>
      <protection/>
    </xf>
    <xf numFmtId="0" fontId="69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191" fontId="13" fillId="41" borderId="0" xfId="0" applyNumberFormat="1" applyFont="1" applyFill="1" applyBorder="1" applyAlignment="1" applyProtection="1">
      <alignment horizontal="right" vertical="center"/>
      <protection/>
    </xf>
    <xf numFmtId="9" fontId="0" fillId="41" borderId="0" xfId="0" applyNumberFormat="1" applyFont="1" applyFill="1" applyBorder="1" applyAlignment="1" applyProtection="1">
      <alignment horizontal="center" vertical="center"/>
      <protection/>
    </xf>
    <xf numFmtId="0" fontId="0" fillId="41" borderId="0" xfId="0" applyFont="1" applyFill="1" applyBorder="1" applyAlignment="1" applyProtection="1">
      <alignment/>
      <protection/>
    </xf>
    <xf numFmtId="191" fontId="0" fillId="0" borderId="0" xfId="0" applyNumberFormat="1" applyFont="1" applyFill="1" applyBorder="1" applyAlignment="1" applyProtection="1">
      <alignment/>
      <protection/>
    </xf>
    <xf numFmtId="191" fontId="0" fillId="41" borderId="0" xfId="0" applyNumberFormat="1" applyFont="1" applyFill="1" applyBorder="1" applyAlignment="1" applyProtection="1">
      <alignment/>
      <protection/>
    </xf>
    <xf numFmtId="0" fontId="0" fillId="41" borderId="0" xfId="0" applyFont="1" applyFill="1" applyAlignment="1" applyProtection="1">
      <alignment horizontal="center" vertical="center"/>
      <protection/>
    </xf>
    <xf numFmtId="0" fontId="0" fillId="41" borderId="0" xfId="0" applyFont="1" applyFill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69" fillId="42" borderId="14" xfId="0" applyFont="1" applyFill="1" applyBorder="1" applyAlignment="1" applyProtection="1">
      <alignment horizontal="center" vertical="center" wrapText="1"/>
      <protection/>
    </xf>
    <xf numFmtId="0" fontId="69" fillId="42" borderId="15" xfId="0" applyFont="1" applyFill="1" applyBorder="1" applyAlignment="1" applyProtection="1">
      <alignment horizontal="center" vertical="center" wrapText="1"/>
      <protection/>
    </xf>
    <xf numFmtId="0" fontId="69" fillId="42" borderId="12" xfId="0" applyFont="1" applyFill="1" applyBorder="1" applyAlignment="1" applyProtection="1">
      <alignment horizontal="center" vertical="center" wrapText="1"/>
      <protection/>
    </xf>
    <xf numFmtId="182" fontId="0" fillId="3" borderId="16" xfId="66" applyNumberFormat="1" applyFont="1" applyFill="1" applyBorder="1" applyAlignment="1" applyProtection="1">
      <alignment vertical="center"/>
      <protection/>
    </xf>
    <xf numFmtId="182" fontId="0" fillId="3" borderId="15" xfId="66" applyNumberFormat="1" applyFont="1" applyFill="1" applyBorder="1" applyAlignment="1" applyProtection="1">
      <alignment vertical="center"/>
      <protection/>
    </xf>
    <xf numFmtId="182" fontId="0" fillId="3" borderId="17" xfId="66" applyNumberFormat="1" applyFont="1" applyFill="1" applyBorder="1" applyAlignment="1" applyProtection="1">
      <alignment vertical="center"/>
      <protection/>
    </xf>
    <xf numFmtId="182" fontId="13" fillId="3" borderId="12" xfId="66" applyNumberFormat="1" applyFont="1" applyFill="1" applyBorder="1" applyAlignment="1" applyProtection="1">
      <alignment vertical="center"/>
      <protection/>
    </xf>
    <xf numFmtId="0" fontId="13" fillId="0" borderId="18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183" fontId="13" fillId="0" borderId="0" xfId="79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1" fontId="0" fillId="0" borderId="0" xfId="79" applyNumberFormat="1" applyFo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191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left" vertical="center"/>
      <protection/>
    </xf>
    <xf numFmtId="182" fontId="69" fillId="43" borderId="12" xfId="0" applyNumberFormat="1" applyFont="1" applyFill="1" applyBorder="1" applyAlignment="1" applyProtection="1">
      <alignment horizontal="center" vertical="center" wrapText="1"/>
      <protection/>
    </xf>
    <xf numFmtId="182" fontId="69" fillId="43" borderId="19" xfId="0" applyNumberFormat="1" applyFont="1" applyFill="1" applyBorder="1" applyAlignment="1" applyProtection="1">
      <alignment horizontal="center" vertical="center" wrapText="1"/>
      <protection/>
    </xf>
    <xf numFmtId="0" fontId="69" fillId="4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13" fillId="44" borderId="20" xfId="0" applyFont="1" applyFill="1" applyBorder="1" applyAlignment="1" applyProtection="1">
      <alignment horizontal="center" vertical="center" wrapText="1"/>
      <protection/>
    </xf>
    <xf numFmtId="182" fontId="13" fillId="45" borderId="21" xfId="66" applyNumberFormat="1" applyFont="1" applyFill="1" applyBorder="1" applyAlignment="1" applyProtection="1">
      <alignment vertical="center"/>
      <protection/>
    </xf>
    <xf numFmtId="0" fontId="19" fillId="0" borderId="22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91" fontId="13" fillId="15" borderId="20" xfId="0" applyNumberFormat="1" applyFont="1" applyFill="1" applyBorder="1" applyAlignment="1" applyProtection="1">
      <alignment horizontal="center" vertical="center"/>
      <protection/>
    </xf>
    <xf numFmtId="184" fontId="13" fillId="3" borderId="20" xfId="79" applyNumberFormat="1" applyFont="1" applyFill="1" applyBorder="1" applyAlignment="1" applyProtection="1">
      <alignment horizontal="center" vertical="center"/>
      <protection/>
    </xf>
    <xf numFmtId="191" fontId="0" fillId="15" borderId="20" xfId="0" applyNumberFormat="1" applyFont="1" applyFill="1" applyBorder="1" applyAlignment="1" applyProtection="1">
      <alignment horizontal="center" vertical="center"/>
      <protection/>
    </xf>
    <xf numFmtId="182" fontId="0" fillId="45" borderId="11" xfId="66" applyNumberFormat="1" applyFont="1" applyFill="1" applyBorder="1" applyAlignment="1" applyProtection="1">
      <alignment vertical="center"/>
      <protection/>
    </xf>
    <xf numFmtId="182" fontId="13" fillId="0" borderId="12" xfId="66" applyNumberFormat="1" applyFont="1" applyFill="1" applyBorder="1" applyAlignment="1" applyProtection="1">
      <alignment vertical="center"/>
      <protection/>
    </xf>
    <xf numFmtId="182" fontId="0" fillId="45" borderId="12" xfId="66" applyNumberFormat="1" applyFont="1" applyFill="1" applyBorder="1" applyAlignment="1" applyProtection="1">
      <alignment vertical="center"/>
      <protection/>
    </xf>
    <xf numFmtId="183" fontId="70" fillId="3" borderId="23" xfId="79" applyFont="1" applyFill="1" applyBorder="1" applyAlignment="1" applyProtection="1">
      <alignment horizontal="center" vertical="center"/>
      <protection/>
    </xf>
    <xf numFmtId="182" fontId="18" fillId="39" borderId="24" xfId="66" applyNumberFormat="1" applyFont="1" applyFill="1" applyBorder="1" applyAlignment="1" applyProtection="1">
      <alignment vertical="center"/>
      <protection/>
    </xf>
    <xf numFmtId="182" fontId="18" fillId="39" borderId="25" xfId="66" applyNumberFormat="1" applyFont="1" applyFill="1" applyBorder="1" applyAlignment="1" applyProtection="1">
      <alignment vertical="center"/>
      <protection/>
    </xf>
    <xf numFmtId="0" fontId="13" fillId="46" borderId="0" xfId="0" applyFont="1" applyFill="1" applyBorder="1" applyAlignment="1" applyProtection="1">
      <alignment horizontal="center" vertical="center"/>
      <protection/>
    </xf>
    <xf numFmtId="0" fontId="0" fillId="46" borderId="0" xfId="0" applyFill="1" applyAlignment="1" applyProtection="1">
      <alignment/>
      <protection/>
    </xf>
    <xf numFmtId="0" fontId="0" fillId="46" borderId="0" xfId="0" applyFill="1" applyAlignment="1" applyProtection="1">
      <alignment horizontal="center" vertical="center"/>
      <protection/>
    </xf>
    <xf numFmtId="192" fontId="0" fillId="0" borderId="0" xfId="66" applyNumberFormat="1" applyFont="1" applyFill="1" applyBorder="1" applyAlignment="1" applyProtection="1">
      <alignment vertical="center"/>
      <protection/>
    </xf>
    <xf numFmtId="192" fontId="0" fillId="0" borderId="0" xfId="66" applyNumberFormat="1" applyFont="1" applyFill="1" applyBorder="1" applyProtection="1">
      <alignment/>
      <protection/>
    </xf>
    <xf numFmtId="0" fontId="0" fillId="47" borderId="26" xfId="0" applyFont="1" applyFill="1" applyBorder="1" applyAlignment="1" applyProtection="1">
      <alignment horizontal="left" vertical="center"/>
      <protection locked="0"/>
    </xf>
    <xf numFmtId="183" fontId="0" fillId="0" borderId="20" xfId="79" applyBorder="1" applyAlignment="1" applyProtection="1">
      <alignment horizontal="center" vertical="center"/>
      <protection/>
    </xf>
    <xf numFmtId="183" fontId="0" fillId="0" borderId="0" xfId="79" applyFill="1" applyBorder="1" applyAlignment="1" applyProtection="1">
      <alignment horizontal="center" vertical="center"/>
      <protection/>
    </xf>
    <xf numFmtId="183" fontId="13" fillId="44" borderId="20" xfId="79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182" fontId="13" fillId="48" borderId="27" xfId="0" applyNumberFormat="1" applyFont="1" applyFill="1" applyBorder="1" applyAlignment="1" applyProtection="1">
      <alignment horizontal="center" vertical="center" wrapText="1"/>
      <protection/>
    </xf>
    <xf numFmtId="182" fontId="13" fillId="48" borderId="28" xfId="0" applyNumberFormat="1" applyFont="1" applyFill="1" applyBorder="1" applyAlignment="1" applyProtection="1">
      <alignment horizontal="center" vertical="center" wrapText="1"/>
      <protection/>
    </xf>
    <xf numFmtId="182" fontId="0" fillId="45" borderId="19" xfId="66" applyNumberFormat="1" applyFont="1" applyFill="1" applyBorder="1" applyAlignment="1" applyProtection="1">
      <alignment vertical="center"/>
      <protection/>
    </xf>
    <xf numFmtId="182" fontId="13" fillId="45" borderId="29" xfId="66" applyNumberFormat="1" applyFont="1" applyFill="1" applyBorder="1" applyAlignment="1" applyProtection="1">
      <alignment vertical="center"/>
      <protection/>
    </xf>
    <xf numFmtId="0" fontId="71" fillId="0" borderId="0" xfId="0" applyFont="1" applyFill="1" applyBorder="1" applyAlignment="1" applyProtection="1">
      <alignment horizontal="center" vertical="center" wrapText="1"/>
      <protection/>
    </xf>
    <xf numFmtId="183" fontId="72" fillId="0" borderId="0" xfId="79" applyFont="1" applyFill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73" fillId="0" borderId="0" xfId="0" applyFont="1" applyBorder="1" applyAlignment="1" applyProtection="1">
      <alignment horizontal="left" vertical="center" indent="2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47" borderId="30" xfId="0" applyFont="1" applyFill="1" applyBorder="1" applyAlignment="1" applyProtection="1">
      <alignment horizontal="left" vertical="center"/>
      <protection locked="0"/>
    </xf>
    <xf numFmtId="0" fontId="0" fillId="47" borderId="30" xfId="0" applyFont="1" applyFill="1" applyBorder="1" applyAlignment="1" applyProtection="1">
      <alignment/>
      <protection locked="0"/>
    </xf>
    <xf numFmtId="0" fontId="0" fillId="47" borderId="31" xfId="0" applyFont="1" applyFill="1" applyBorder="1" applyAlignment="1" applyProtection="1">
      <alignment/>
      <protection locked="0"/>
    </xf>
    <xf numFmtId="0" fontId="0" fillId="47" borderId="32" xfId="0" applyFont="1" applyFill="1" applyBorder="1" applyAlignment="1" applyProtection="1">
      <alignment/>
      <protection locked="0"/>
    </xf>
    <xf numFmtId="191" fontId="0" fillId="0" borderId="33" xfId="0" applyNumberFormat="1" applyFont="1" applyFill="1" applyBorder="1" applyAlignment="1" applyProtection="1">
      <alignment horizontal="right" vertical="center"/>
      <protection/>
    </xf>
    <xf numFmtId="191" fontId="0" fillId="0" borderId="34" xfId="0" applyNumberFormat="1" applyFont="1" applyFill="1" applyBorder="1" applyAlignment="1" applyProtection="1">
      <alignment horizontal="right" vertical="center"/>
      <protection/>
    </xf>
    <xf numFmtId="191" fontId="0" fillId="0" borderId="35" xfId="0" applyNumberFormat="1" applyFont="1" applyFill="1" applyBorder="1" applyAlignment="1" applyProtection="1">
      <alignment horizontal="right" vertical="center"/>
      <protection/>
    </xf>
    <xf numFmtId="192" fontId="0" fillId="47" borderId="32" xfId="66" applyNumberFormat="1" applyFont="1" applyFill="1" applyBorder="1" applyAlignment="1" applyProtection="1">
      <alignment vertical="center"/>
      <protection locked="0"/>
    </xf>
    <xf numFmtId="191" fontId="0" fillId="45" borderId="36" xfId="0" applyNumberFormat="1" applyFont="1" applyFill="1" applyBorder="1" applyAlignment="1" applyProtection="1">
      <alignment horizontal="right" vertical="center"/>
      <protection/>
    </xf>
    <xf numFmtId="191" fontId="0" fillId="45" borderId="37" xfId="0" applyNumberFormat="1" applyFont="1" applyFill="1" applyBorder="1" applyAlignment="1" applyProtection="1">
      <alignment horizontal="right" vertical="center"/>
      <protection/>
    </xf>
    <xf numFmtId="191" fontId="0" fillId="0" borderId="36" xfId="0" applyNumberFormat="1" applyFont="1" applyFill="1" applyBorder="1" applyAlignment="1" applyProtection="1">
      <alignment horizontal="right" vertical="center"/>
      <protection/>
    </xf>
    <xf numFmtId="191" fontId="0" fillId="0" borderId="37" xfId="0" applyNumberFormat="1" applyFont="1" applyFill="1" applyBorder="1" applyAlignment="1" applyProtection="1">
      <alignment horizontal="right" vertical="center"/>
      <protection/>
    </xf>
    <xf numFmtId="0" fontId="0" fillId="47" borderId="38" xfId="0" applyFont="1" applyFill="1" applyBorder="1" applyAlignment="1" applyProtection="1">
      <alignment horizontal="left" vertical="center"/>
      <protection locked="0"/>
    </xf>
    <xf numFmtId="0" fontId="73" fillId="0" borderId="0" xfId="0" applyFont="1" applyBorder="1" applyAlignment="1" applyProtection="1">
      <alignment vertical="center"/>
      <protection/>
    </xf>
    <xf numFmtId="0" fontId="11" fillId="49" borderId="20" xfId="0" applyFont="1" applyFill="1" applyBorder="1" applyAlignment="1" applyProtection="1">
      <alignment horizontal="left" vertical="center"/>
      <protection/>
    </xf>
    <xf numFmtId="0" fontId="11" fillId="50" borderId="20" xfId="0" applyFont="1" applyFill="1" applyBorder="1" applyAlignment="1" applyProtection="1">
      <alignment horizontal="left" vertical="center"/>
      <protection/>
    </xf>
    <xf numFmtId="189" fontId="16" fillId="0" borderId="20" xfId="0" applyNumberFormat="1" applyFont="1" applyFill="1" applyBorder="1" applyAlignment="1" applyProtection="1">
      <alignment horizontal="left"/>
      <protection/>
    </xf>
    <xf numFmtId="0" fontId="13" fillId="51" borderId="20" xfId="0" applyFont="1" applyFill="1" applyBorder="1" applyAlignment="1" applyProtection="1">
      <alignment horizontal="center" vertical="center"/>
      <protection/>
    </xf>
    <xf numFmtId="0" fontId="13" fillId="50" borderId="20" xfId="0" applyFont="1" applyFill="1" applyBorder="1" applyAlignment="1" applyProtection="1">
      <alignment horizontal="center" vertical="center" wrapText="1"/>
      <protection/>
    </xf>
    <xf numFmtId="1" fontId="0" fillId="0" borderId="20" xfId="0" applyNumberFormat="1" applyFont="1" applyFill="1" applyBorder="1" applyAlignment="1" applyProtection="1">
      <alignment horizontal="center" vertical="center" wrapText="1"/>
      <protection/>
    </xf>
    <xf numFmtId="182" fontId="11" fillId="49" borderId="20" xfId="66" applyNumberFormat="1" applyFont="1" applyFill="1" applyBorder="1" applyAlignment="1" applyProtection="1">
      <alignment horizontal="center" vertical="center"/>
      <protection/>
    </xf>
    <xf numFmtId="182" fontId="11" fillId="50" borderId="20" xfId="66" applyNumberFormat="1" applyFont="1" applyFill="1" applyBorder="1" applyAlignment="1" applyProtection="1">
      <alignment horizontal="center" vertical="center"/>
      <protection/>
    </xf>
    <xf numFmtId="0" fontId="13" fillId="52" borderId="20" xfId="0" applyFont="1" applyFill="1" applyBorder="1" applyAlignment="1" applyProtection="1">
      <alignment horizontal="center" vertical="center" wrapText="1"/>
      <protection/>
    </xf>
    <xf numFmtId="0" fontId="13" fillId="53" borderId="20" xfId="0" applyFont="1" applyFill="1" applyBorder="1" applyAlignment="1" applyProtection="1">
      <alignment horizontal="left" vertical="center"/>
      <protection/>
    </xf>
    <xf numFmtId="182" fontId="13" fillId="52" borderId="20" xfId="0" applyNumberFormat="1" applyFont="1" applyFill="1" applyBorder="1" applyAlignment="1" applyProtection="1">
      <alignment horizontal="center" vertical="center" wrapText="1"/>
      <protection/>
    </xf>
    <xf numFmtId="9" fontId="0" fillId="47" borderId="39" xfId="0" applyNumberFormat="1" applyFont="1" applyFill="1" applyBorder="1" applyAlignment="1" applyProtection="1">
      <alignment horizontal="center" vertical="center"/>
      <protection locked="0"/>
    </xf>
    <xf numFmtId="196" fontId="0" fillId="41" borderId="0" xfId="0" applyNumberFormat="1" applyFont="1" applyFill="1" applyAlignment="1" applyProtection="1">
      <alignment/>
      <protection/>
    </xf>
    <xf numFmtId="195" fontId="0" fillId="41" borderId="0" xfId="0" applyNumberFormat="1" applyFont="1" applyFill="1" applyAlignment="1" applyProtection="1">
      <alignment/>
      <protection/>
    </xf>
    <xf numFmtId="182" fontId="0" fillId="45" borderId="39" xfId="66" applyNumberFormat="1" applyFont="1" applyFill="1" applyBorder="1" applyAlignment="1" applyProtection="1">
      <alignment vertical="center"/>
      <protection/>
    </xf>
    <xf numFmtId="182" fontId="0" fillId="45" borderId="40" xfId="66" applyNumberFormat="1" applyFont="1" applyFill="1" applyBorder="1" applyAlignment="1" applyProtection="1">
      <alignment vertical="center"/>
      <protection/>
    </xf>
    <xf numFmtId="181" fontId="0" fillId="0" borderId="41" xfId="66" applyNumberFormat="1" applyFont="1" applyFill="1" applyBorder="1" applyAlignment="1" applyProtection="1">
      <alignment vertical="center"/>
      <protection/>
    </xf>
    <xf numFmtId="182" fontId="0" fillId="45" borderId="42" xfId="66" applyNumberFormat="1" applyFont="1" applyFill="1" applyBorder="1" applyAlignment="1" applyProtection="1">
      <alignment vertical="center"/>
      <protection/>
    </xf>
    <xf numFmtId="182" fontId="13" fillId="39" borderId="43" xfId="0" applyNumberFormat="1" applyFont="1" applyFill="1" applyBorder="1" applyAlignment="1" applyProtection="1">
      <alignment horizontal="center" vertical="center" wrapText="1"/>
      <protection/>
    </xf>
    <xf numFmtId="194" fontId="0" fillId="54" borderId="39" xfId="79" applyNumberFormat="1" applyFill="1" applyBorder="1" applyAlignment="1" applyProtection="1">
      <alignment horizontal="center" vertical="center"/>
      <protection/>
    </xf>
    <xf numFmtId="194" fontId="0" fillId="54" borderId="44" xfId="79" applyNumberFormat="1" applyFill="1" applyBorder="1" applyAlignment="1" applyProtection="1">
      <alignment horizontal="center" vertical="center"/>
      <protection/>
    </xf>
    <xf numFmtId="182" fontId="13" fillId="39" borderId="45" xfId="0" applyNumberFormat="1" applyFont="1" applyFill="1" applyBorder="1" applyAlignment="1" applyProtection="1">
      <alignment horizontal="center" vertical="center" wrapText="1"/>
      <protection/>
    </xf>
    <xf numFmtId="183" fontId="0" fillId="0" borderId="0" xfId="79" applyProtection="1">
      <alignment/>
      <protection/>
    </xf>
    <xf numFmtId="195" fontId="0" fillId="0" borderId="0" xfId="66" applyNumberFormat="1" applyProtection="1">
      <alignment/>
      <protection/>
    </xf>
    <xf numFmtId="9" fontId="0" fillId="47" borderId="44" xfId="0" applyNumberFormat="1" applyFont="1" applyFill="1" applyBorder="1" applyAlignment="1" applyProtection="1">
      <alignment horizontal="center" vertical="center"/>
      <protection locked="0"/>
    </xf>
    <xf numFmtId="191" fontId="0" fillId="0" borderId="46" xfId="0" applyNumberFormat="1" applyFont="1" applyFill="1" applyBorder="1" applyAlignment="1" applyProtection="1">
      <alignment horizontal="right" vertical="center"/>
      <protection/>
    </xf>
    <xf numFmtId="191" fontId="0" fillId="0" borderId="32" xfId="0" applyNumberFormat="1" applyFont="1" applyFill="1" applyBorder="1" applyAlignment="1" applyProtection="1">
      <alignment horizontal="right" vertical="center"/>
      <protection/>
    </xf>
    <xf numFmtId="191" fontId="0" fillId="0" borderId="47" xfId="0" applyNumberFormat="1" applyFont="1" applyFill="1" applyBorder="1" applyAlignment="1" applyProtection="1">
      <alignment horizontal="right" vertical="center"/>
      <protection/>
    </xf>
    <xf numFmtId="191" fontId="0" fillId="0" borderId="42" xfId="0" applyNumberFormat="1" applyFont="1" applyFill="1" applyBorder="1" applyAlignment="1" applyProtection="1">
      <alignment horizontal="right" vertical="center"/>
      <protection/>
    </xf>
    <xf numFmtId="9" fontId="0" fillId="47" borderId="48" xfId="0" applyNumberFormat="1" applyFont="1" applyFill="1" applyBorder="1" applyAlignment="1" applyProtection="1">
      <alignment horizontal="center" vertical="center"/>
      <protection locked="0"/>
    </xf>
    <xf numFmtId="0" fontId="10" fillId="55" borderId="48" xfId="0" applyFont="1" applyFill="1" applyBorder="1" applyAlignment="1" applyProtection="1">
      <alignment horizontal="center" vertical="center"/>
      <protection/>
    </xf>
    <xf numFmtId="0" fontId="10" fillId="14" borderId="49" xfId="0" applyFont="1" applyFill="1" applyBorder="1" applyAlignment="1" applyProtection="1">
      <alignment horizontal="center" vertical="center"/>
      <protection/>
    </xf>
    <xf numFmtId="0" fontId="10" fillId="55" borderId="42" xfId="0" applyFont="1" applyFill="1" applyBorder="1" applyAlignment="1" applyProtection="1">
      <alignment horizontal="center" vertical="center"/>
      <protection/>
    </xf>
    <xf numFmtId="0" fontId="10" fillId="14" borderId="50" xfId="0" applyFont="1" applyFill="1" applyBorder="1" applyAlignment="1" applyProtection="1">
      <alignment horizontal="center" vertical="center"/>
      <protection/>
    </xf>
    <xf numFmtId="183" fontId="0" fillId="47" borderId="51" xfId="79" applyFont="1" applyFill="1" applyBorder="1" applyAlignment="1" applyProtection="1">
      <alignment horizontal="center" vertical="center"/>
      <protection locked="0"/>
    </xf>
    <xf numFmtId="183" fontId="0" fillId="47" borderId="52" xfId="79" applyFont="1" applyFill="1" applyBorder="1" applyAlignment="1" applyProtection="1">
      <alignment horizontal="center" vertical="center"/>
      <protection locked="0"/>
    </xf>
    <xf numFmtId="183" fontId="0" fillId="47" borderId="50" xfId="79" applyFont="1" applyFill="1" applyBorder="1" applyAlignment="1" applyProtection="1">
      <alignment horizontal="center" vertical="center"/>
      <protection locked="0"/>
    </xf>
    <xf numFmtId="191" fontId="0" fillId="0" borderId="53" xfId="0" applyNumberFormat="1" applyFont="1" applyFill="1" applyBorder="1" applyAlignment="1" applyProtection="1">
      <alignment horizontal="right" vertical="center"/>
      <protection/>
    </xf>
    <xf numFmtId="191" fontId="0" fillId="0" borderId="49" xfId="0" applyNumberFormat="1" applyFont="1" applyFill="1" applyBorder="1" applyAlignment="1" applyProtection="1">
      <alignment horizontal="right" vertical="center"/>
      <protection/>
    </xf>
    <xf numFmtId="0" fontId="73" fillId="0" borderId="0" xfId="0" applyFont="1" applyBorder="1" applyAlignment="1" applyProtection="1">
      <alignment vertical="center" wrapText="1"/>
      <protection/>
    </xf>
    <xf numFmtId="0" fontId="10" fillId="56" borderId="48" xfId="0" applyFont="1" applyFill="1" applyBorder="1" applyAlignment="1" applyProtection="1">
      <alignment horizontal="center" vertical="center"/>
      <protection/>
    </xf>
    <xf numFmtId="0" fontId="10" fillId="56" borderId="49" xfId="0" applyFont="1" applyFill="1" applyBorder="1" applyAlignment="1" applyProtection="1">
      <alignment horizontal="center" vertical="center"/>
      <protection/>
    </xf>
    <xf numFmtId="183" fontId="74" fillId="0" borderId="54" xfId="79" applyFont="1" applyFill="1" applyBorder="1" applyAlignment="1" applyProtection="1">
      <alignment horizontal="center" vertical="center"/>
      <protection/>
    </xf>
    <xf numFmtId="183" fontId="74" fillId="0" borderId="55" xfId="79" applyFont="1" applyFill="1" applyBorder="1" applyAlignment="1" applyProtection="1">
      <alignment horizontal="center" vertical="center"/>
      <protection/>
    </xf>
    <xf numFmtId="191" fontId="0" fillId="9" borderId="56" xfId="0" applyNumberFormat="1" applyFont="1" applyFill="1" applyBorder="1" applyAlignment="1" applyProtection="1">
      <alignment horizontal="right" vertical="center"/>
      <protection/>
    </xf>
    <xf numFmtId="191" fontId="0" fillId="9" borderId="57" xfId="0" applyNumberFormat="1" applyFont="1" applyFill="1" applyBorder="1" applyAlignment="1" applyProtection="1">
      <alignment horizontal="right" vertical="center"/>
      <protection/>
    </xf>
    <xf numFmtId="0" fontId="0" fillId="41" borderId="58" xfId="0" applyFont="1" applyFill="1" applyBorder="1" applyAlignment="1" applyProtection="1">
      <alignment/>
      <protection/>
    </xf>
    <xf numFmtId="0" fontId="0" fillId="41" borderId="59" xfId="0" applyFont="1" applyFill="1" applyBorder="1" applyAlignment="1" applyProtection="1">
      <alignment/>
      <protection/>
    </xf>
    <xf numFmtId="0" fontId="0" fillId="41" borderId="60" xfId="0" applyFont="1" applyFill="1" applyBorder="1" applyAlignment="1" applyProtection="1">
      <alignment/>
      <protection/>
    </xf>
    <xf numFmtId="0" fontId="0" fillId="41" borderId="61" xfId="0" applyFont="1" applyFill="1" applyBorder="1" applyAlignment="1" applyProtection="1">
      <alignment/>
      <protection/>
    </xf>
    <xf numFmtId="0" fontId="0" fillId="41" borderId="62" xfId="0" applyFont="1" applyFill="1" applyBorder="1" applyAlignment="1" applyProtection="1">
      <alignment/>
      <protection/>
    </xf>
    <xf numFmtId="0" fontId="73" fillId="0" borderId="61" xfId="0" applyFont="1" applyBorder="1" applyAlignment="1" applyProtection="1">
      <alignment vertical="center"/>
      <protection/>
    </xf>
    <xf numFmtId="0" fontId="10" fillId="55" borderId="63" xfId="0" applyFont="1" applyFill="1" applyBorder="1" applyAlignment="1" applyProtection="1">
      <alignment horizontal="center" vertical="center"/>
      <protection/>
    </xf>
    <xf numFmtId="0" fontId="10" fillId="55" borderId="64" xfId="0" applyFont="1" applyFill="1" applyBorder="1" applyAlignment="1" applyProtection="1">
      <alignment horizontal="center" vertical="center"/>
      <protection/>
    </xf>
    <xf numFmtId="0" fontId="10" fillId="56" borderId="63" xfId="0" applyFont="1" applyFill="1" applyBorder="1" applyAlignment="1" applyProtection="1">
      <alignment horizontal="center" vertical="center"/>
      <protection/>
    </xf>
    <xf numFmtId="0" fontId="10" fillId="56" borderId="64" xfId="0" applyFont="1" applyFill="1" applyBorder="1" applyAlignment="1" applyProtection="1">
      <alignment horizontal="center" vertical="center"/>
      <protection/>
    </xf>
    <xf numFmtId="0" fontId="10" fillId="14" borderId="63" xfId="0" applyFont="1" applyFill="1" applyBorder="1" applyAlignment="1" applyProtection="1">
      <alignment horizontal="center" vertical="center"/>
      <protection/>
    </xf>
    <xf numFmtId="0" fontId="10" fillId="14" borderId="64" xfId="0" applyFont="1" applyFill="1" applyBorder="1" applyAlignment="1" applyProtection="1">
      <alignment horizontal="center" vertical="center"/>
      <protection/>
    </xf>
    <xf numFmtId="0" fontId="0" fillId="41" borderId="65" xfId="0" applyFont="1" applyFill="1" applyBorder="1" applyAlignment="1" applyProtection="1">
      <alignment/>
      <protection/>
    </xf>
    <xf numFmtId="0" fontId="0" fillId="41" borderId="66" xfId="0" applyFont="1" applyFill="1" applyBorder="1" applyAlignment="1" applyProtection="1">
      <alignment/>
      <protection/>
    </xf>
    <xf numFmtId="0" fontId="0" fillId="41" borderId="67" xfId="0" applyFont="1" applyFill="1" applyBorder="1" applyAlignment="1" applyProtection="1">
      <alignment/>
      <protection/>
    </xf>
    <xf numFmtId="0" fontId="13" fillId="44" borderId="64" xfId="0" applyFont="1" applyFill="1" applyBorder="1" applyAlignment="1" applyProtection="1">
      <alignment horizontal="center" vertical="center" wrapText="1"/>
      <protection/>
    </xf>
    <xf numFmtId="191" fontId="0" fillId="45" borderId="68" xfId="0" applyNumberFormat="1" applyFont="1" applyFill="1" applyBorder="1" applyAlignment="1" applyProtection="1">
      <alignment horizontal="right" vertical="center"/>
      <protection/>
    </xf>
    <xf numFmtId="191" fontId="0" fillId="45" borderId="69" xfId="0" applyNumberFormat="1" applyFont="1" applyFill="1" applyBorder="1" applyAlignment="1" applyProtection="1">
      <alignment horizontal="right" vertical="center"/>
      <protection/>
    </xf>
    <xf numFmtId="191" fontId="19" fillId="57" borderId="70" xfId="0" applyNumberFormat="1" applyFont="1" applyFill="1" applyBorder="1" applyAlignment="1" applyProtection="1">
      <alignment vertical="center"/>
      <protection/>
    </xf>
    <xf numFmtId="194" fontId="0" fillId="54" borderId="42" xfId="79" applyNumberFormat="1" applyFill="1" applyBorder="1" applyAlignment="1" applyProtection="1">
      <alignment horizontal="center" vertical="center"/>
      <protection/>
    </xf>
    <xf numFmtId="0" fontId="0" fillId="47" borderId="44" xfId="0" applyFont="1" applyFill="1" applyBorder="1" applyAlignment="1" applyProtection="1">
      <alignment horizontal="left" vertical="center"/>
      <protection locked="0"/>
    </xf>
    <xf numFmtId="0" fontId="0" fillId="47" borderId="48" xfId="0" applyFont="1" applyFill="1" applyBorder="1" applyAlignment="1" applyProtection="1">
      <alignment horizontal="left" vertical="center"/>
      <protection locked="0"/>
    </xf>
    <xf numFmtId="182" fontId="0" fillId="47" borderId="49" xfId="66" applyNumberFormat="1" applyFont="1" applyFill="1" applyBorder="1" applyAlignment="1" applyProtection="1">
      <alignment vertical="center"/>
      <protection locked="0"/>
    </xf>
    <xf numFmtId="0" fontId="0" fillId="47" borderId="50" xfId="0" applyFont="1" applyFill="1" applyBorder="1" applyAlignment="1" applyProtection="1">
      <alignment horizontal="left" vertical="center"/>
      <protection locked="0"/>
    </xf>
    <xf numFmtId="0" fontId="13" fillId="44" borderId="49" xfId="0" applyFont="1" applyFill="1" applyBorder="1" applyAlignment="1" applyProtection="1">
      <alignment horizontal="center" vertical="center" wrapText="1"/>
      <protection/>
    </xf>
    <xf numFmtId="194" fontId="0" fillId="54" borderId="48" xfId="79" applyNumberFormat="1" applyFill="1" applyBorder="1" applyAlignment="1" applyProtection="1">
      <alignment horizontal="center" vertical="center"/>
      <protection/>
    </xf>
    <xf numFmtId="194" fontId="0" fillId="54" borderId="71" xfId="79" applyNumberFormat="1" applyFill="1" applyBorder="1" applyAlignment="1" applyProtection="1">
      <alignment horizontal="center" vertical="center"/>
      <protection/>
    </xf>
    <xf numFmtId="194" fontId="0" fillId="54" borderId="49" xfId="79" applyNumberForma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61" fillId="0" borderId="0" xfId="60" applyFill="1" applyBorder="1" applyAlignment="1" applyProtection="1">
      <alignment vertical="center"/>
      <protection/>
    </xf>
    <xf numFmtId="0" fontId="61" fillId="41" borderId="0" xfId="60" applyFill="1" applyBorder="1" applyAlignment="1" applyProtection="1">
      <alignment vertical="center"/>
      <protection/>
    </xf>
    <xf numFmtId="0" fontId="61" fillId="0" borderId="0" xfId="60" applyAlignment="1" applyProtection="1">
      <alignment/>
      <protection/>
    </xf>
    <xf numFmtId="0" fontId="61" fillId="0" borderId="0" xfId="60" applyBorder="1" applyAlignment="1" applyProtection="1">
      <alignment vertical="center"/>
      <protection/>
    </xf>
    <xf numFmtId="0" fontId="61" fillId="0" borderId="0" xfId="60" applyBorder="1" applyAlignment="1" applyProtection="1">
      <alignment horizontal="left" vertical="center"/>
      <protection/>
    </xf>
    <xf numFmtId="0" fontId="73" fillId="0" borderId="0" xfId="0" applyFont="1" applyBorder="1" applyAlignment="1" applyProtection="1">
      <alignment horizontal="left" vertical="center"/>
      <protection/>
    </xf>
    <xf numFmtId="0" fontId="61" fillId="0" borderId="0" xfId="60" applyBorder="1" applyAlignment="1" applyProtection="1" quotePrefix="1">
      <alignment horizontal="left" vertical="center"/>
      <protection/>
    </xf>
    <xf numFmtId="0" fontId="61" fillId="0" borderId="0" xfId="60" applyAlignment="1">
      <alignment/>
    </xf>
    <xf numFmtId="0" fontId="61" fillId="41" borderId="0" xfId="60" applyFill="1" applyBorder="1" applyAlignment="1" applyProtection="1">
      <alignment horizontal="left" vertical="center"/>
      <protection/>
    </xf>
    <xf numFmtId="0" fontId="61" fillId="0" borderId="0" xfId="60" applyAlignment="1" applyProtection="1">
      <alignment horizontal="left"/>
      <protection/>
    </xf>
    <xf numFmtId="0" fontId="73" fillId="0" borderId="0" xfId="0" applyFont="1" applyBorder="1" applyAlignment="1" applyProtection="1">
      <alignment horizontal="left" vertical="center" indent="2"/>
      <protection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182" fontId="0" fillId="0" borderId="0" xfId="0" applyNumberFormat="1" applyFont="1" applyAlignment="1" applyProtection="1">
      <alignment vertical="center"/>
      <protection/>
    </xf>
    <xf numFmtId="182" fontId="13" fillId="0" borderId="0" xfId="0" applyNumberFormat="1" applyFont="1" applyAlignment="1" applyProtection="1">
      <alignment vertical="center"/>
      <protection/>
    </xf>
    <xf numFmtId="182" fontId="0" fillId="45" borderId="72" xfId="66" applyNumberFormat="1" applyFont="1" applyFill="1" applyBorder="1" applyAlignment="1" applyProtection="1">
      <alignment vertical="center"/>
      <protection/>
    </xf>
    <xf numFmtId="0" fontId="13" fillId="39" borderId="63" xfId="0" applyFont="1" applyFill="1" applyBorder="1" applyAlignment="1" applyProtection="1">
      <alignment horizontal="center" vertical="center"/>
      <protection/>
    </xf>
    <xf numFmtId="0" fontId="13" fillId="39" borderId="73" xfId="0" applyFont="1" applyFill="1" applyBorder="1" applyAlignment="1" applyProtection="1">
      <alignment horizontal="center" vertical="center"/>
      <protection/>
    </xf>
    <xf numFmtId="191" fontId="19" fillId="15" borderId="74" xfId="0" applyNumberFormat="1" applyFont="1" applyFill="1" applyBorder="1" applyAlignment="1" applyProtection="1">
      <alignment horizontal="right" vertical="center"/>
      <protection/>
    </xf>
    <xf numFmtId="183" fontId="70" fillId="3" borderId="75" xfId="79" applyFont="1" applyFill="1" applyBorder="1" applyAlignment="1" applyProtection="1">
      <alignment horizontal="center" vertical="center"/>
      <protection/>
    </xf>
    <xf numFmtId="191" fontId="19" fillId="15" borderId="76" xfId="0" applyNumberFormat="1" applyFont="1" applyFill="1" applyBorder="1" applyAlignment="1" applyProtection="1">
      <alignment horizontal="right" vertical="center"/>
      <protection/>
    </xf>
    <xf numFmtId="0" fontId="0" fillId="47" borderId="77" xfId="0" applyFont="1" applyFill="1" applyBorder="1" applyAlignment="1" applyProtection="1">
      <alignment/>
      <protection locked="0"/>
    </xf>
    <xf numFmtId="0" fontId="0" fillId="47" borderId="78" xfId="0" applyFont="1" applyFill="1" applyBorder="1" applyAlignment="1" applyProtection="1">
      <alignment/>
      <protection locked="0"/>
    </xf>
    <xf numFmtId="0" fontId="0" fillId="47" borderId="79" xfId="0" applyFont="1" applyFill="1" applyBorder="1" applyAlignment="1" applyProtection="1">
      <alignment/>
      <protection locked="0"/>
    </xf>
    <xf numFmtId="192" fontId="0" fillId="47" borderId="47" xfId="66" applyNumberFormat="1" applyFont="1" applyFill="1" applyBorder="1" applyAlignment="1" applyProtection="1">
      <alignment vertical="center"/>
      <protection locked="0"/>
    </xf>
    <xf numFmtId="191" fontId="0" fillId="45" borderId="35" xfId="0" applyNumberFormat="1" applyFont="1" applyFill="1" applyBorder="1" applyAlignment="1" applyProtection="1">
      <alignment horizontal="right" vertical="center"/>
      <protection/>
    </xf>
    <xf numFmtId="0" fontId="0" fillId="47" borderId="20" xfId="0" applyFont="1" applyFill="1" applyBorder="1" applyAlignment="1" applyProtection="1">
      <alignment/>
      <protection locked="0"/>
    </xf>
    <xf numFmtId="0" fontId="0" fillId="47" borderId="47" xfId="0" applyFont="1" applyFill="1" applyBorder="1" applyAlignment="1" applyProtection="1">
      <alignment/>
      <protection locked="0"/>
    </xf>
    <xf numFmtId="0" fontId="0" fillId="47" borderId="71" xfId="0" applyFont="1" applyFill="1" applyBorder="1" applyAlignment="1" applyProtection="1">
      <alignment/>
      <protection locked="0"/>
    </xf>
    <xf numFmtId="0" fontId="0" fillId="47" borderId="42" xfId="0" applyFont="1" applyFill="1" applyBorder="1" applyAlignment="1" applyProtection="1">
      <alignment/>
      <protection locked="0"/>
    </xf>
    <xf numFmtId="192" fontId="0" fillId="47" borderId="42" xfId="66" applyNumberFormat="1" applyFont="1" applyFill="1" applyBorder="1" applyAlignment="1" applyProtection="1">
      <alignment vertical="center"/>
      <protection locked="0"/>
    </xf>
    <xf numFmtId="191" fontId="0" fillId="45" borderId="33" xfId="0" applyNumberFormat="1" applyFont="1" applyFill="1" applyBorder="1" applyAlignment="1" applyProtection="1">
      <alignment horizontal="right" vertical="center"/>
      <protection/>
    </xf>
    <xf numFmtId="9" fontId="0" fillId="58" borderId="75" xfId="0" applyNumberFormat="1" applyFont="1" applyFill="1" applyBorder="1" applyAlignment="1" applyProtection="1">
      <alignment horizontal="center" vertical="center"/>
      <protection/>
    </xf>
    <xf numFmtId="191" fontId="0" fillId="15" borderId="80" xfId="0" applyNumberFormat="1" applyFont="1" applyFill="1" applyBorder="1" applyAlignment="1" applyProtection="1">
      <alignment horizontal="right" vertical="center"/>
      <protection/>
    </xf>
    <xf numFmtId="9" fontId="0" fillId="58" borderId="80" xfId="0" applyNumberFormat="1" applyFont="1" applyFill="1" applyBorder="1" applyAlignment="1" applyProtection="1">
      <alignment horizontal="center" vertical="center"/>
      <protection/>
    </xf>
    <xf numFmtId="183" fontId="0" fillId="58" borderId="80" xfId="79" applyFont="1" applyFill="1" applyBorder="1" applyAlignment="1" applyProtection="1">
      <alignment horizontal="center" vertical="center"/>
      <protection/>
    </xf>
    <xf numFmtId="191" fontId="0" fillId="15" borderId="76" xfId="0" applyNumberFormat="1" applyFont="1" applyFill="1" applyBorder="1" applyAlignment="1" applyProtection="1">
      <alignment horizontal="right" vertical="center"/>
      <protection/>
    </xf>
    <xf numFmtId="182" fontId="13" fillId="48" borderId="81" xfId="0" applyNumberFormat="1" applyFont="1" applyFill="1" applyBorder="1" applyAlignment="1" applyProtection="1">
      <alignment horizontal="center" vertical="center" wrapText="1"/>
      <protection/>
    </xf>
    <xf numFmtId="182" fontId="13" fillId="48" borderId="19" xfId="0" applyNumberFormat="1" applyFont="1" applyFill="1" applyBorder="1" applyAlignment="1" applyProtection="1">
      <alignment horizontal="center" vertical="center" wrapText="1"/>
      <protection/>
    </xf>
    <xf numFmtId="182" fontId="13" fillId="48" borderId="82" xfId="0" applyNumberFormat="1" applyFont="1" applyFill="1" applyBorder="1" applyAlignment="1" applyProtection="1">
      <alignment horizontal="center" vertical="center" wrapText="1"/>
      <protection/>
    </xf>
    <xf numFmtId="182" fontId="18" fillId="53" borderId="75" xfId="66" applyNumberFormat="1" applyFont="1" applyFill="1" applyBorder="1" applyAlignment="1" applyProtection="1">
      <alignment vertical="center" wrapText="1"/>
      <protection/>
    </xf>
    <xf numFmtId="182" fontId="13" fillId="48" borderId="83" xfId="0" applyNumberFormat="1" applyFont="1" applyFill="1" applyBorder="1" applyAlignment="1" applyProtection="1">
      <alignment horizontal="center" vertical="center" wrapText="1"/>
      <protection/>
    </xf>
    <xf numFmtId="0" fontId="13" fillId="44" borderId="84" xfId="0" applyFont="1" applyFill="1" applyBorder="1" applyAlignment="1" applyProtection="1">
      <alignment horizontal="center" vertical="center" wrapText="1"/>
      <protection/>
    </xf>
    <xf numFmtId="193" fontId="0" fillId="47" borderId="77" xfId="66" applyNumberFormat="1" applyFont="1" applyFill="1" applyBorder="1" applyAlignment="1" applyProtection="1">
      <alignment horizontal="center" vertical="center"/>
      <protection locked="0"/>
    </xf>
    <xf numFmtId="193" fontId="0" fillId="47" borderId="48" xfId="66" applyNumberFormat="1" applyFont="1" applyFill="1" applyBorder="1" applyAlignment="1" applyProtection="1">
      <alignment horizontal="center" vertical="center"/>
      <protection locked="0"/>
    </xf>
    <xf numFmtId="0" fontId="0" fillId="0" borderId="85" xfId="0" applyFont="1" applyFill="1" applyBorder="1" applyAlignment="1" applyProtection="1">
      <alignment horizontal="left" vertical="center"/>
      <protection/>
    </xf>
    <xf numFmtId="0" fontId="0" fillId="0" borderId="86" xfId="0" applyFont="1" applyFill="1" applyBorder="1" applyAlignment="1" applyProtection="1">
      <alignment horizontal="left" vertical="center"/>
      <protection/>
    </xf>
    <xf numFmtId="0" fontId="0" fillId="0" borderId="87" xfId="0" applyFont="1" applyFill="1" applyBorder="1" applyAlignment="1" applyProtection="1">
      <alignment horizontal="left" vertical="center"/>
      <protection/>
    </xf>
    <xf numFmtId="182" fontId="13" fillId="39" borderId="19" xfId="0" applyNumberFormat="1" applyFont="1" applyFill="1" applyBorder="1" applyAlignment="1" applyProtection="1">
      <alignment horizontal="center" vertical="center" wrapText="1"/>
      <protection/>
    </xf>
    <xf numFmtId="182" fontId="13" fillId="39" borderId="88" xfId="0" applyNumberFormat="1" applyFont="1" applyFill="1" applyBorder="1" applyAlignment="1" applyProtection="1">
      <alignment horizontal="center" vertical="center" wrapText="1"/>
      <protection/>
    </xf>
    <xf numFmtId="0" fontId="13" fillId="39" borderId="81" xfId="0" applyFont="1" applyFill="1" applyBorder="1" applyAlignment="1" applyProtection="1">
      <alignment horizontal="center" vertical="center"/>
      <protection/>
    </xf>
    <xf numFmtId="0" fontId="13" fillId="39" borderId="89" xfId="0" applyFont="1" applyFill="1" applyBorder="1" applyAlignment="1" applyProtection="1">
      <alignment horizontal="center" vertical="center"/>
      <protection/>
    </xf>
    <xf numFmtId="181" fontId="0" fillId="0" borderId="11" xfId="66" applyNumberFormat="1" applyFont="1" applyFill="1" applyBorder="1" applyAlignment="1" applyProtection="1">
      <alignment vertical="center"/>
      <protection/>
    </xf>
    <xf numFmtId="182" fontId="0" fillId="45" borderId="77" xfId="66" applyNumberFormat="1" applyFont="1" applyFill="1" applyBorder="1" applyAlignment="1" applyProtection="1">
      <alignment vertical="center"/>
      <protection/>
    </xf>
    <xf numFmtId="182" fontId="0" fillId="45" borderId="32" xfId="66" applyNumberFormat="1" applyFont="1" applyFill="1" applyBorder="1" applyAlignment="1" applyProtection="1">
      <alignment vertical="center"/>
      <protection/>
    </xf>
    <xf numFmtId="194" fontId="0" fillId="54" borderId="77" xfId="79" applyNumberFormat="1" applyFill="1" applyBorder="1" applyAlignment="1" applyProtection="1">
      <alignment horizontal="center" vertical="center"/>
      <protection/>
    </xf>
    <xf numFmtId="194" fontId="0" fillId="54" borderId="53" xfId="79" applyNumberFormat="1" applyFill="1" applyBorder="1" applyAlignment="1" applyProtection="1">
      <alignment horizontal="center" vertical="center"/>
      <protection/>
    </xf>
    <xf numFmtId="182" fontId="0" fillId="47" borderId="53" xfId="66" applyNumberFormat="1" applyFont="1" applyFill="1" applyBorder="1" applyAlignment="1" applyProtection="1">
      <alignment vertical="center"/>
      <protection locked="0"/>
    </xf>
    <xf numFmtId="182" fontId="0" fillId="45" borderId="48" xfId="66" applyNumberFormat="1" applyFont="1" applyFill="1" applyBorder="1" applyAlignment="1" applyProtection="1">
      <alignment vertical="center"/>
      <protection/>
    </xf>
    <xf numFmtId="182" fontId="0" fillId="45" borderId="71" xfId="66" applyNumberFormat="1" applyFont="1" applyFill="1" applyBorder="1" applyAlignment="1" applyProtection="1">
      <alignment vertical="center"/>
      <protection/>
    </xf>
    <xf numFmtId="182" fontId="13" fillId="39" borderId="12" xfId="0" applyNumberFormat="1" applyFont="1" applyFill="1" applyBorder="1" applyAlignment="1" applyProtection="1">
      <alignment horizontal="center" vertical="center" wrapText="1"/>
      <protection/>
    </xf>
    <xf numFmtId="182" fontId="13" fillId="39" borderId="11" xfId="0" applyNumberFormat="1" applyFont="1" applyFill="1" applyBorder="1" applyAlignment="1" applyProtection="1">
      <alignment horizontal="center" vertical="center" wrapText="1"/>
      <protection/>
    </xf>
    <xf numFmtId="181" fontId="0" fillId="0" borderId="90" xfId="66" applyNumberFormat="1" applyFont="1" applyFill="1" applyBorder="1" applyAlignment="1" applyProtection="1">
      <alignment vertical="center"/>
      <protection/>
    </xf>
    <xf numFmtId="194" fontId="0" fillId="54" borderId="77" xfId="79" applyNumberFormat="1" applyFill="1" applyBorder="1" applyAlignment="1" applyProtection="1">
      <alignment horizontal="center" vertical="center"/>
      <protection/>
    </xf>
    <xf numFmtId="194" fontId="0" fillId="54" borderId="32" xfId="79" applyNumberFormat="1" applyFill="1" applyBorder="1" applyAlignment="1" applyProtection="1">
      <alignment horizontal="center" vertical="center"/>
      <protection/>
    </xf>
    <xf numFmtId="0" fontId="0" fillId="47" borderId="39" xfId="0" applyFont="1" applyFill="1" applyBorder="1" applyAlignment="1" applyProtection="1">
      <alignment horizontal="left" vertical="center"/>
      <protection locked="0"/>
    </xf>
    <xf numFmtId="182" fontId="0" fillId="45" borderId="91" xfId="66" applyNumberFormat="1" applyFont="1" applyFill="1" applyBorder="1" applyAlignment="1" applyProtection="1">
      <alignment vertical="center"/>
      <protection/>
    </xf>
    <xf numFmtId="182" fontId="0" fillId="45" borderId="44" xfId="66" applyNumberFormat="1" applyFont="1" applyFill="1" applyBorder="1" applyAlignment="1" applyProtection="1">
      <alignment vertical="center"/>
      <protection/>
    </xf>
    <xf numFmtId="182" fontId="0" fillId="45" borderId="92" xfId="66" applyNumberFormat="1" applyFont="1" applyFill="1" applyBorder="1" applyAlignment="1" applyProtection="1">
      <alignment vertical="center"/>
      <protection/>
    </xf>
    <xf numFmtId="42" fontId="0" fillId="47" borderId="20" xfId="67" applyFont="1" applyFill="1" applyBorder="1" applyAlignment="1" applyProtection="1">
      <alignment horizontal="center" vertical="center"/>
      <protection locked="0"/>
    </xf>
    <xf numFmtId="0" fontId="0" fillId="47" borderId="71" xfId="0" applyFont="1" applyFill="1" applyBorder="1" applyAlignment="1" applyProtection="1">
      <alignment horizontal="left" vertical="center"/>
      <protection locked="0"/>
    </xf>
    <xf numFmtId="0" fontId="0" fillId="47" borderId="42" xfId="0" applyFont="1" applyFill="1" applyBorder="1" applyAlignment="1" applyProtection="1">
      <alignment horizontal="left" vertical="center"/>
      <protection locked="0"/>
    </xf>
    <xf numFmtId="192" fontId="0" fillId="47" borderId="71" xfId="66" applyNumberFormat="1" applyFont="1" applyFill="1" applyBorder="1" applyAlignment="1" applyProtection="1">
      <alignment vertical="center"/>
      <protection locked="0"/>
    </xf>
    <xf numFmtId="191" fontId="0" fillId="45" borderId="93" xfId="0" applyNumberFormat="1" applyFont="1" applyFill="1" applyBorder="1" applyAlignment="1" applyProtection="1">
      <alignment horizontal="right" vertical="center"/>
      <protection/>
    </xf>
    <xf numFmtId="193" fontId="0" fillId="47" borderId="94" xfId="66" applyNumberFormat="1" applyFont="1" applyFill="1" applyBorder="1" applyAlignment="1" applyProtection="1">
      <alignment horizontal="center" vertical="center"/>
      <protection locked="0"/>
    </xf>
    <xf numFmtId="193" fontId="0" fillId="47" borderId="71" xfId="66" applyNumberFormat="1" applyFont="1" applyFill="1" applyBorder="1" applyAlignment="1" applyProtection="1">
      <alignment horizontal="center" vertical="center"/>
      <protection locked="0"/>
    </xf>
    <xf numFmtId="193" fontId="0" fillId="59" borderId="20" xfId="66" applyNumberFormat="1" applyFont="1" applyFill="1" applyBorder="1" applyAlignment="1" applyProtection="1">
      <alignment horizontal="center" vertical="center"/>
      <protection locked="0"/>
    </xf>
    <xf numFmtId="182" fontId="0" fillId="60" borderId="12" xfId="66" applyNumberFormat="1" applyFont="1" applyFill="1" applyBorder="1" applyAlignment="1" applyProtection="1">
      <alignment vertical="center"/>
      <protection/>
    </xf>
    <xf numFmtId="182" fontId="0" fillId="60" borderId="19" xfId="66" applyNumberFormat="1" applyFont="1" applyFill="1" applyBorder="1" applyAlignment="1" applyProtection="1">
      <alignment vertical="center"/>
      <protection/>
    </xf>
    <xf numFmtId="193" fontId="13" fillId="45" borderId="53" xfId="0" applyNumberFormat="1" applyFont="1" applyFill="1" applyBorder="1" applyAlignment="1" applyProtection="1">
      <alignment horizontal="center" vertical="center"/>
      <protection/>
    </xf>
    <xf numFmtId="193" fontId="13" fillId="45" borderId="46" xfId="0" applyNumberFormat="1" applyFont="1" applyFill="1" applyBorder="1" applyAlignment="1" applyProtection="1">
      <alignment horizontal="center" vertical="center"/>
      <protection/>
    </xf>
    <xf numFmtId="193" fontId="13" fillId="45" borderId="49" xfId="0" applyNumberFormat="1" applyFont="1" applyFill="1" applyBorder="1" applyAlignment="1" applyProtection="1">
      <alignment horizontal="center" vertical="center"/>
      <protection/>
    </xf>
    <xf numFmtId="182" fontId="0" fillId="47" borderId="20" xfId="66" applyNumberFormat="1" applyFill="1" applyBorder="1" applyAlignment="1" applyProtection="1">
      <alignment vertical="center"/>
      <protection locked="0"/>
    </xf>
    <xf numFmtId="41" fontId="16" fillId="47" borderId="20" xfId="63" applyFont="1" applyFill="1" applyBorder="1" applyAlignment="1" applyProtection="1">
      <alignment vertical="center"/>
      <protection locked="0"/>
    </xf>
    <xf numFmtId="182" fontId="16" fillId="47" borderId="20" xfId="66" applyNumberFormat="1" applyFont="1" applyFill="1" applyBorder="1" applyAlignment="1" applyProtection="1">
      <alignment vertical="center"/>
      <protection locked="0"/>
    </xf>
    <xf numFmtId="41" fontId="11" fillId="47" borderId="20" xfId="63" applyFont="1" applyFill="1" applyBorder="1" applyAlignment="1" applyProtection="1">
      <alignment vertical="center"/>
      <protection locked="0"/>
    </xf>
    <xf numFmtId="182" fontId="16" fillId="32" borderId="20" xfId="66" applyNumberFormat="1" applyFont="1" applyFill="1" applyBorder="1" applyAlignment="1" applyProtection="1">
      <alignment vertical="center"/>
      <protection locked="0"/>
    </xf>
    <xf numFmtId="41" fontId="16" fillId="32" borderId="20" xfId="63" applyFont="1" applyFill="1" applyBorder="1" applyAlignment="1" applyProtection="1">
      <alignment vertical="center"/>
      <protection locked="0"/>
    </xf>
    <xf numFmtId="182" fontId="11" fillId="47" borderId="20" xfId="66" applyNumberFormat="1" applyFont="1" applyFill="1" applyBorder="1" applyAlignment="1" applyProtection="1">
      <alignment vertical="center"/>
      <protection locked="0"/>
    </xf>
    <xf numFmtId="0" fontId="13" fillId="61" borderId="71" xfId="0" applyFont="1" applyFill="1" applyBorder="1" applyAlignment="1" applyProtection="1">
      <alignment horizontal="center" vertical="center" wrapText="1"/>
      <protection/>
    </xf>
    <xf numFmtId="188" fontId="13" fillId="61" borderId="71" xfId="62" applyNumberFormat="1" applyFont="1" applyFill="1" applyBorder="1" applyAlignment="1" applyProtection="1">
      <alignment horizontal="center" vertical="center" wrapText="1"/>
      <protection/>
    </xf>
    <xf numFmtId="0" fontId="11" fillId="61" borderId="71" xfId="0" applyFont="1" applyFill="1" applyBorder="1" applyAlignment="1" applyProtection="1">
      <alignment horizontal="center" vertical="center"/>
      <protection/>
    </xf>
    <xf numFmtId="182" fontId="16" fillId="47" borderId="20" xfId="66" applyNumberFormat="1" applyFont="1" applyFill="1" applyBorder="1" applyAlignment="1" applyProtection="1">
      <alignment vertical="center"/>
      <protection locked="0"/>
    </xf>
    <xf numFmtId="190" fontId="16" fillId="47" borderId="20" xfId="62" applyNumberFormat="1" applyFont="1" applyFill="1" applyBorder="1" applyAlignment="1" applyProtection="1">
      <alignment vertical="center"/>
      <protection locked="0"/>
    </xf>
    <xf numFmtId="190" fontId="0" fillId="47" borderId="20" xfId="62" applyNumberFormat="1" applyFill="1" applyBorder="1" applyProtection="1">
      <alignment/>
      <protection locked="0"/>
    </xf>
    <xf numFmtId="182" fontId="0" fillId="45" borderId="77" xfId="66" applyNumberFormat="1" applyFont="1" applyFill="1" applyBorder="1" applyAlignment="1" applyProtection="1">
      <alignment vertical="center"/>
      <protection/>
    </xf>
    <xf numFmtId="182" fontId="0" fillId="54" borderId="77" xfId="66" applyNumberFormat="1" applyFont="1" applyFill="1" applyBorder="1" applyAlignment="1" applyProtection="1">
      <alignment vertical="center"/>
      <protection/>
    </xf>
    <xf numFmtId="182" fontId="0" fillId="0" borderId="77" xfId="66" applyNumberFormat="1" applyFont="1" applyFill="1" applyBorder="1" applyAlignment="1" applyProtection="1">
      <alignment vertical="center"/>
      <protection/>
    </xf>
    <xf numFmtId="184" fontId="0" fillId="0" borderId="77" xfId="0" applyNumberFormat="1" applyFont="1" applyFill="1" applyBorder="1" applyAlignment="1" applyProtection="1">
      <alignment horizontal="center" vertical="center"/>
      <protection/>
    </xf>
    <xf numFmtId="184" fontId="0" fillId="0" borderId="53" xfId="0" applyNumberFormat="1" applyFont="1" applyFill="1" applyBorder="1" applyAlignment="1" applyProtection="1">
      <alignment horizontal="center" vertical="center"/>
      <protection/>
    </xf>
    <xf numFmtId="182" fontId="0" fillId="45" borderId="71" xfId="66" applyNumberFormat="1" applyFont="1" applyFill="1" applyBorder="1" applyAlignment="1" applyProtection="1">
      <alignment vertical="center"/>
      <protection/>
    </xf>
    <xf numFmtId="182" fontId="0" fillId="0" borderId="71" xfId="66" applyNumberFormat="1" applyFont="1" applyFill="1" applyBorder="1" applyAlignment="1" applyProtection="1">
      <alignment vertical="center"/>
      <protection/>
    </xf>
    <xf numFmtId="184" fontId="0" fillId="0" borderId="71" xfId="0" applyNumberFormat="1" applyFont="1" applyFill="1" applyBorder="1" applyAlignment="1" applyProtection="1">
      <alignment horizontal="center" vertical="center"/>
      <protection/>
    </xf>
    <xf numFmtId="184" fontId="0" fillId="0" borderId="49" xfId="0" applyNumberFormat="1" applyFont="1" applyFill="1" applyBorder="1" applyAlignment="1" applyProtection="1">
      <alignment horizontal="center" vertical="center"/>
      <protection/>
    </xf>
    <xf numFmtId="182" fontId="13" fillId="48" borderId="94" xfId="0" applyNumberFormat="1" applyFont="1" applyFill="1" applyBorder="1" applyAlignment="1" applyProtection="1">
      <alignment horizontal="center" vertical="center" wrapText="1"/>
      <protection/>
    </xf>
    <xf numFmtId="182" fontId="13" fillId="39" borderId="94" xfId="0" applyNumberFormat="1" applyFont="1" applyFill="1" applyBorder="1" applyAlignment="1" applyProtection="1">
      <alignment horizontal="center" vertical="center" wrapText="1"/>
      <protection/>
    </xf>
    <xf numFmtId="182" fontId="13" fillId="39" borderId="64" xfId="0" applyNumberFormat="1" applyFont="1" applyFill="1" applyBorder="1" applyAlignment="1" applyProtection="1">
      <alignment horizontal="center" vertical="center" wrapText="1"/>
      <protection/>
    </xf>
    <xf numFmtId="181" fontId="0" fillId="0" borderId="32" xfId="66" applyNumberFormat="1" applyFont="1" applyFill="1" applyBorder="1" applyAlignment="1" applyProtection="1">
      <alignment vertical="center"/>
      <protection/>
    </xf>
    <xf numFmtId="181" fontId="0" fillId="0" borderId="42" xfId="66" applyNumberFormat="1" applyFont="1" applyFill="1" applyBorder="1" applyAlignment="1" applyProtection="1">
      <alignment vertical="center"/>
      <protection/>
    </xf>
    <xf numFmtId="181" fontId="0" fillId="0" borderId="47" xfId="66" applyNumberFormat="1" applyFont="1" applyFill="1" applyBorder="1" applyAlignment="1" applyProtection="1">
      <alignment vertical="center"/>
      <protection/>
    </xf>
    <xf numFmtId="182" fontId="13" fillId="48" borderId="63" xfId="0" applyNumberFormat="1" applyFont="1" applyFill="1" applyBorder="1" applyAlignment="1" applyProtection="1">
      <alignment horizontal="center" vertical="center" wrapText="1"/>
      <protection/>
    </xf>
    <xf numFmtId="182" fontId="13" fillId="48" borderId="64" xfId="0" applyNumberFormat="1" applyFont="1" applyFill="1" applyBorder="1" applyAlignment="1" applyProtection="1">
      <alignment horizontal="center" vertical="center" wrapText="1"/>
      <protection/>
    </xf>
    <xf numFmtId="182" fontId="0" fillId="45" borderId="53" xfId="66" applyNumberFormat="1" applyFont="1" applyFill="1" applyBorder="1" applyAlignment="1" applyProtection="1">
      <alignment vertical="center"/>
      <protection/>
    </xf>
    <xf numFmtId="182" fontId="0" fillId="45" borderId="48" xfId="66" applyNumberFormat="1" applyFont="1" applyFill="1" applyBorder="1" applyAlignment="1" applyProtection="1">
      <alignment vertical="center"/>
      <protection/>
    </xf>
    <xf numFmtId="182" fontId="0" fillId="45" borderId="49" xfId="66" applyNumberFormat="1" applyFont="1" applyFill="1" applyBorder="1" applyAlignment="1" applyProtection="1">
      <alignment vertical="center"/>
      <protection/>
    </xf>
    <xf numFmtId="182" fontId="0" fillId="60" borderId="46" xfId="66" applyNumberFormat="1" applyFont="1" applyFill="1" applyBorder="1" applyAlignment="1" applyProtection="1">
      <alignment vertical="center"/>
      <protection/>
    </xf>
    <xf numFmtId="182" fontId="13" fillId="39" borderId="63" xfId="0" applyNumberFormat="1" applyFont="1" applyFill="1" applyBorder="1" applyAlignment="1" applyProtection="1">
      <alignment horizontal="center" vertical="center" wrapText="1"/>
      <protection/>
    </xf>
    <xf numFmtId="182" fontId="0" fillId="54" borderId="53" xfId="66" applyNumberFormat="1" applyFont="1" applyFill="1" applyBorder="1" applyAlignment="1" applyProtection="1">
      <alignment vertical="center"/>
      <protection/>
    </xf>
    <xf numFmtId="182" fontId="0" fillId="54" borderId="48" xfId="66" applyNumberFormat="1" applyFont="1" applyFill="1" applyBorder="1" applyAlignment="1" applyProtection="1">
      <alignment vertical="center"/>
      <protection/>
    </xf>
    <xf numFmtId="182" fontId="0" fillId="0" borderId="53" xfId="66" applyNumberFormat="1" applyFont="1" applyFill="1" applyBorder="1" applyAlignment="1" applyProtection="1">
      <alignment vertical="center"/>
      <protection/>
    </xf>
    <xf numFmtId="182" fontId="0" fillId="0" borderId="48" xfId="66" applyNumberFormat="1" applyFont="1" applyFill="1" applyBorder="1" applyAlignment="1" applyProtection="1">
      <alignment vertical="center"/>
      <protection/>
    </xf>
    <xf numFmtId="182" fontId="0" fillId="0" borderId="44" xfId="66" applyNumberFormat="1" applyFont="1" applyFill="1" applyBorder="1" applyAlignment="1" applyProtection="1">
      <alignment vertical="center"/>
      <protection/>
    </xf>
    <xf numFmtId="182" fontId="0" fillId="0" borderId="49" xfId="66" applyNumberFormat="1" applyFont="1" applyFill="1" applyBorder="1" applyAlignment="1" applyProtection="1">
      <alignment vertical="center"/>
      <protection/>
    </xf>
    <xf numFmtId="182" fontId="13" fillId="48" borderId="19" xfId="0" applyNumberFormat="1" applyFont="1" applyFill="1" applyBorder="1" applyAlignment="1" applyProtection="1">
      <alignment horizontal="center" vertical="center" wrapText="1"/>
      <protection/>
    </xf>
    <xf numFmtId="194" fontId="0" fillId="54" borderId="51" xfId="79" applyNumberFormat="1" applyFill="1" applyBorder="1" applyAlignment="1" applyProtection="1">
      <alignment horizontal="center" vertical="center"/>
      <protection/>
    </xf>
    <xf numFmtId="194" fontId="0" fillId="54" borderId="50" xfId="79" applyNumberFormat="1" applyFill="1" applyBorder="1" applyAlignment="1" applyProtection="1">
      <alignment horizontal="center" vertical="center"/>
      <protection/>
    </xf>
    <xf numFmtId="182" fontId="0" fillId="45" borderId="63" xfId="66" applyNumberFormat="1" applyFont="1" applyFill="1" applyBorder="1" applyAlignment="1" applyProtection="1">
      <alignment vertical="center"/>
      <protection/>
    </xf>
    <xf numFmtId="182" fontId="0" fillId="45" borderId="94" xfId="66" applyNumberFormat="1" applyFont="1" applyFill="1" applyBorder="1" applyAlignment="1" applyProtection="1">
      <alignment vertical="center"/>
      <protection/>
    </xf>
    <xf numFmtId="182" fontId="0" fillId="45" borderId="95" xfId="66" applyNumberFormat="1" applyFont="1" applyFill="1" applyBorder="1" applyAlignment="1" applyProtection="1">
      <alignment vertical="center"/>
      <protection/>
    </xf>
    <xf numFmtId="182" fontId="0" fillId="45" borderId="53" xfId="66" applyNumberFormat="1" applyFont="1" applyFill="1" applyBorder="1" applyAlignment="1" applyProtection="1">
      <alignment vertical="center"/>
      <protection/>
    </xf>
    <xf numFmtId="182" fontId="0" fillId="0" borderId="46" xfId="66" applyNumberFormat="1" applyFont="1" applyFill="1" applyBorder="1" applyAlignment="1" applyProtection="1">
      <alignment vertical="center"/>
      <protection/>
    </xf>
    <xf numFmtId="187" fontId="0" fillId="0" borderId="46" xfId="62" applyNumberFormat="1" applyFont="1" applyFill="1" applyBorder="1" applyAlignment="1" applyProtection="1">
      <alignment vertical="center"/>
      <protection/>
    </xf>
    <xf numFmtId="182" fontId="13" fillId="62" borderId="46" xfId="66" applyNumberFormat="1" applyFont="1" applyFill="1" applyBorder="1" applyAlignment="1" applyProtection="1">
      <alignment vertical="center"/>
      <protection/>
    </xf>
    <xf numFmtId="182" fontId="0" fillId="1" borderId="46" xfId="66" applyNumberFormat="1" applyFont="1" applyFill="1" applyBorder="1" applyAlignment="1" applyProtection="1">
      <alignment vertical="center"/>
      <protection/>
    </xf>
    <xf numFmtId="187" fontId="0" fillId="1" borderId="46" xfId="62" applyNumberFormat="1" applyFont="1" applyFill="1" applyBorder="1" applyAlignment="1" applyProtection="1">
      <alignment vertical="center"/>
      <protection/>
    </xf>
    <xf numFmtId="182" fontId="0" fillId="0" borderId="46" xfId="66" applyNumberFormat="1" applyFont="1" applyFill="1" applyBorder="1" applyAlignment="1" applyProtection="1">
      <alignment vertical="center"/>
      <protection/>
    </xf>
    <xf numFmtId="192" fontId="0" fillId="8" borderId="32" xfId="66" applyNumberFormat="1" applyFont="1" applyFill="1" applyBorder="1" applyAlignment="1" applyProtection="1">
      <alignment vertical="center"/>
      <protection/>
    </xf>
    <xf numFmtId="192" fontId="0" fillId="45" borderId="51" xfId="66" applyNumberFormat="1" applyFont="1" applyFill="1" applyBorder="1" applyAlignment="1" applyProtection="1">
      <alignment vertical="center"/>
      <protection/>
    </xf>
    <xf numFmtId="0" fontId="0" fillId="8" borderId="53" xfId="0" applyFont="1" applyFill="1" applyBorder="1" applyAlignment="1" applyProtection="1">
      <alignment horizontal="left" vertical="center"/>
      <protection/>
    </xf>
    <xf numFmtId="0" fontId="0" fillId="8" borderId="49" xfId="0" applyFont="1" applyFill="1" applyBorder="1" applyAlignment="1" applyProtection="1">
      <alignment horizontal="left" vertical="center"/>
      <protection/>
    </xf>
    <xf numFmtId="0" fontId="52" fillId="58" borderId="0" xfId="75" applyFill="1">
      <alignment/>
      <protection/>
    </xf>
    <xf numFmtId="0" fontId="68" fillId="2" borderId="96" xfId="75" applyFont="1" applyFill="1" applyBorder="1" applyAlignment="1">
      <alignment horizontal="center" vertical="center"/>
      <protection/>
    </xf>
    <xf numFmtId="0" fontId="68" fillId="63" borderId="96" xfId="75" applyFont="1" applyFill="1" applyBorder="1" applyAlignment="1">
      <alignment horizontal="center" vertical="center" wrapText="1"/>
      <protection/>
    </xf>
    <xf numFmtId="0" fontId="68" fillId="58" borderId="0" xfId="75" applyFont="1" applyFill="1" applyAlignment="1">
      <alignment horizontal="right"/>
      <protection/>
    </xf>
    <xf numFmtId="1" fontId="75" fillId="58" borderId="96" xfId="65" applyNumberFormat="1" applyFont="1" applyFill="1" applyBorder="1" applyAlignment="1">
      <alignment horizontal="center" vertical="center"/>
    </xf>
    <xf numFmtId="1" fontId="75" fillId="58" borderId="0" xfId="65" applyNumberFormat="1" applyFont="1" applyFill="1" applyBorder="1" applyAlignment="1">
      <alignment horizontal="center" vertical="center"/>
    </xf>
    <xf numFmtId="0" fontId="68" fillId="14" borderId="0" xfId="75" applyFont="1" applyFill="1" applyAlignment="1">
      <alignment horizontal="left" vertical="center" indent="1"/>
      <protection/>
    </xf>
    <xf numFmtId="0" fontId="52" fillId="58" borderId="0" xfId="75" applyFill="1" applyAlignment="1">
      <alignment horizontal="left" indent="2"/>
      <protection/>
    </xf>
    <xf numFmtId="199" fontId="52" fillId="58" borderId="0" xfId="75" applyNumberFormat="1" applyFill="1">
      <alignment/>
      <protection/>
    </xf>
    <xf numFmtId="199" fontId="68" fillId="58" borderId="0" xfId="75" applyNumberFormat="1" applyFont="1" applyFill="1">
      <alignment/>
      <protection/>
    </xf>
    <xf numFmtId="0" fontId="68" fillId="2" borderId="20" xfId="75" applyFont="1" applyFill="1" applyBorder="1" applyAlignment="1">
      <alignment horizontal="left" indent="2"/>
      <protection/>
    </xf>
    <xf numFmtId="199" fontId="68" fillId="2" borderId="20" xfId="75" applyNumberFormat="1" applyFont="1" applyFill="1" applyBorder="1">
      <alignment/>
      <protection/>
    </xf>
    <xf numFmtId="182" fontId="13" fillId="48" borderId="22" xfId="0" applyNumberFormat="1" applyFont="1" applyFill="1" applyBorder="1" applyAlignment="1" applyProtection="1">
      <alignment horizontal="center" vertical="center" wrapText="1"/>
      <protection/>
    </xf>
    <xf numFmtId="193" fontId="0" fillId="47" borderId="32" xfId="66" applyNumberFormat="1" applyFont="1" applyFill="1" applyBorder="1" applyAlignment="1" applyProtection="1">
      <alignment horizontal="center" vertical="center"/>
      <protection locked="0"/>
    </xf>
    <xf numFmtId="193" fontId="0" fillId="47" borderId="95" xfId="66" applyNumberFormat="1" applyFont="1" applyFill="1" applyBorder="1" applyAlignment="1" applyProtection="1">
      <alignment horizontal="center" vertical="center"/>
      <protection locked="0"/>
    </xf>
    <xf numFmtId="193" fontId="0" fillId="47" borderId="42" xfId="66" applyNumberFormat="1" applyFont="1" applyFill="1" applyBorder="1" applyAlignment="1" applyProtection="1">
      <alignment horizontal="center" vertical="center"/>
      <protection locked="0"/>
    </xf>
    <xf numFmtId="182" fontId="13" fillId="48" borderId="13" xfId="0" applyNumberFormat="1" applyFont="1" applyFill="1" applyBorder="1" applyAlignment="1" applyProtection="1">
      <alignment horizontal="center" vertical="center" wrapText="1"/>
      <protection/>
    </xf>
    <xf numFmtId="193" fontId="0" fillId="47" borderId="51" xfId="66" applyNumberFormat="1" applyFont="1" applyFill="1" applyBorder="1" applyAlignment="1" applyProtection="1">
      <alignment horizontal="center" vertical="center"/>
      <protection locked="0"/>
    </xf>
    <xf numFmtId="193" fontId="0" fillId="47" borderId="73" xfId="66" applyNumberFormat="1" applyFont="1" applyFill="1" applyBorder="1" applyAlignment="1" applyProtection="1">
      <alignment horizontal="center" vertical="center"/>
      <protection locked="0"/>
    </xf>
    <xf numFmtId="193" fontId="0" fillId="47" borderId="50" xfId="66" applyNumberFormat="1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left" vertical="center"/>
      <protection/>
    </xf>
    <xf numFmtId="0" fontId="0" fillId="0" borderId="37" xfId="0" applyFont="1" applyFill="1" applyBorder="1" applyAlignment="1" applyProtection="1">
      <alignment horizontal="left" vertical="center"/>
      <protection/>
    </xf>
    <xf numFmtId="0" fontId="0" fillId="0" borderId="33" xfId="0" applyFont="1" applyFill="1" applyBorder="1" applyAlignment="1" applyProtection="1">
      <alignment horizontal="left" vertical="center"/>
      <protection/>
    </xf>
    <xf numFmtId="193" fontId="13" fillId="45" borderId="34" xfId="0" applyNumberFormat="1" applyFont="1" applyFill="1" applyBorder="1" applyAlignment="1" applyProtection="1">
      <alignment horizontal="center" vertical="center"/>
      <protection/>
    </xf>
    <xf numFmtId="193" fontId="13" fillId="45" borderId="37" xfId="0" applyNumberFormat="1" applyFont="1" applyFill="1" applyBorder="1" applyAlignment="1" applyProtection="1">
      <alignment horizontal="center" vertical="center"/>
      <protection/>
    </xf>
    <xf numFmtId="193" fontId="13" fillId="45" borderId="33" xfId="0" applyNumberFormat="1" applyFont="1" applyFill="1" applyBorder="1" applyAlignment="1" applyProtection="1">
      <alignment horizontal="center" vertical="center"/>
      <protection/>
    </xf>
    <xf numFmtId="193" fontId="13" fillId="2" borderId="7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84" fontId="0" fillId="8" borderId="78" xfId="66" applyNumberFormat="1" applyFont="1" applyFill="1" applyBorder="1" applyAlignment="1" applyProtection="1">
      <alignment horizontal="center" vertical="center"/>
      <protection/>
    </xf>
    <xf numFmtId="192" fontId="0" fillId="45" borderId="78" xfId="66" applyNumberFormat="1" applyFont="1" applyFill="1" applyBorder="1" applyAlignment="1" applyProtection="1">
      <alignment vertical="center"/>
      <protection/>
    </xf>
    <xf numFmtId="0" fontId="0" fillId="8" borderId="32" xfId="0" applyFont="1" applyFill="1" applyBorder="1" applyAlignment="1" applyProtection="1">
      <alignment horizontal="left" vertical="center"/>
      <protection/>
    </xf>
    <xf numFmtId="192" fontId="0" fillId="8" borderId="39" xfId="66" applyNumberFormat="1" applyFont="1" applyFill="1" applyBorder="1" applyAlignment="1" applyProtection="1">
      <alignment vertical="center"/>
      <protection/>
    </xf>
    <xf numFmtId="192" fontId="0" fillId="8" borderId="77" xfId="66" applyNumberFormat="1" applyFont="1" applyFill="1" applyBorder="1" applyAlignment="1" applyProtection="1">
      <alignment vertical="center"/>
      <protection/>
    </xf>
    <xf numFmtId="184" fontId="0" fillId="8" borderId="77" xfId="66" applyNumberFormat="1" applyFont="1" applyFill="1" applyBorder="1" applyAlignment="1" applyProtection="1">
      <alignment horizontal="center" vertical="center"/>
      <protection/>
    </xf>
    <xf numFmtId="192" fontId="0" fillId="45" borderId="77" xfId="66" applyNumberFormat="1" applyFont="1" applyFill="1" applyBorder="1" applyAlignment="1" applyProtection="1">
      <alignment vertical="center"/>
      <protection/>
    </xf>
    <xf numFmtId="192" fontId="0" fillId="45" borderId="53" xfId="66" applyNumberFormat="1" applyFont="1" applyFill="1" applyBorder="1" applyAlignment="1" applyProtection="1">
      <alignment vertical="center"/>
      <protection/>
    </xf>
    <xf numFmtId="0" fontId="0" fillId="8" borderId="42" xfId="0" applyFont="1" applyFill="1" applyBorder="1" applyAlignment="1" applyProtection="1">
      <alignment horizontal="left" vertical="center"/>
      <protection/>
    </xf>
    <xf numFmtId="192" fontId="0" fillId="8" borderId="48" xfId="66" applyNumberFormat="1" applyFont="1" applyFill="1" applyBorder="1" applyAlignment="1" applyProtection="1">
      <alignment vertical="center"/>
      <protection/>
    </xf>
    <xf numFmtId="192" fontId="0" fillId="8" borderId="51" xfId="66" applyNumberFormat="1" applyFont="1" applyFill="1" applyBorder="1" applyAlignment="1" applyProtection="1">
      <alignment vertical="center"/>
      <protection/>
    </xf>
    <xf numFmtId="192" fontId="0" fillId="8" borderId="50" xfId="66" applyNumberFormat="1" applyFont="1" applyFill="1" applyBorder="1" applyAlignment="1" applyProtection="1">
      <alignment vertical="center"/>
      <protection/>
    </xf>
    <xf numFmtId="192" fontId="0" fillId="8" borderId="71" xfId="66" applyNumberFormat="1" applyFont="1" applyFill="1" applyBorder="1" applyAlignment="1" applyProtection="1">
      <alignment vertical="center"/>
      <protection/>
    </xf>
    <xf numFmtId="192" fontId="0" fillId="8" borderId="42" xfId="66" applyNumberFormat="1" applyFont="1" applyFill="1" applyBorder="1" applyAlignment="1" applyProtection="1">
      <alignment vertical="center"/>
      <protection/>
    </xf>
    <xf numFmtId="184" fontId="0" fillId="8" borderId="71" xfId="66" applyNumberFormat="1" applyFont="1" applyFill="1" applyBorder="1" applyAlignment="1" applyProtection="1">
      <alignment horizontal="center" vertical="center"/>
      <protection/>
    </xf>
    <xf numFmtId="192" fontId="0" fillId="45" borderId="71" xfId="66" applyNumberFormat="1" applyFont="1" applyFill="1" applyBorder="1" applyAlignment="1" applyProtection="1">
      <alignment vertical="center"/>
      <protection/>
    </xf>
    <xf numFmtId="192" fontId="0" fillId="45" borderId="49" xfId="66" applyNumberFormat="1" applyFont="1" applyFill="1" applyBorder="1" applyAlignment="1" applyProtection="1">
      <alignment vertical="center"/>
      <protection/>
    </xf>
    <xf numFmtId="192" fontId="0" fillId="64" borderId="20" xfId="66" applyNumberFormat="1" applyFont="1" applyFill="1" applyBorder="1" applyAlignment="1" applyProtection="1">
      <alignment vertical="center"/>
      <protection/>
    </xf>
    <xf numFmtId="192" fontId="0" fillId="64" borderId="46" xfId="66" applyNumberFormat="1" applyFont="1" applyFill="1" applyBorder="1" applyAlignment="1" applyProtection="1">
      <alignment vertical="center"/>
      <protection/>
    </xf>
    <xf numFmtId="182" fontId="13" fillId="48" borderId="88" xfId="0" applyNumberFormat="1" applyFont="1" applyFill="1" applyBorder="1" applyAlignment="1" applyProtection="1">
      <alignment horizontal="center" vertical="center" wrapText="1"/>
      <protection/>
    </xf>
    <xf numFmtId="182" fontId="13" fillId="48" borderId="89" xfId="0" applyNumberFormat="1" applyFont="1" applyFill="1" applyBorder="1" applyAlignment="1" applyProtection="1">
      <alignment horizontal="center" vertical="center" wrapText="1"/>
      <protection/>
    </xf>
    <xf numFmtId="182" fontId="13" fillId="39" borderId="97" xfId="0" applyNumberFormat="1" applyFont="1" applyFill="1" applyBorder="1" applyAlignment="1" applyProtection="1">
      <alignment horizontal="center" vertical="center" wrapText="1"/>
      <protection/>
    </xf>
    <xf numFmtId="182" fontId="13" fillId="39" borderId="94" xfId="0" applyNumberFormat="1" applyFont="1" applyFill="1" applyBorder="1" applyAlignment="1" applyProtection="1">
      <alignment horizontal="center" vertical="center" wrapText="1"/>
      <protection/>
    </xf>
    <xf numFmtId="182" fontId="13" fillId="39" borderId="89" xfId="0" applyNumberFormat="1" applyFont="1" applyFill="1" applyBorder="1" applyAlignment="1" applyProtection="1">
      <alignment horizontal="center" vertical="center" wrapText="1"/>
      <protection/>
    </xf>
    <xf numFmtId="182" fontId="13" fillId="39" borderId="82" xfId="0" applyNumberFormat="1" applyFont="1" applyFill="1" applyBorder="1" applyAlignment="1" applyProtection="1">
      <alignment horizontal="center" vertical="center" wrapText="1"/>
      <protection/>
    </xf>
    <xf numFmtId="184" fontId="0" fillId="47" borderId="39" xfId="66" applyNumberFormat="1" applyFont="1" applyFill="1" applyBorder="1" applyAlignment="1" applyProtection="1">
      <alignment horizontal="center" vertical="center"/>
      <protection locked="0"/>
    </xf>
    <xf numFmtId="184" fontId="0" fillId="8" borderId="53" xfId="66" applyNumberFormat="1" applyFont="1" applyFill="1" applyBorder="1" applyAlignment="1" applyProtection="1">
      <alignment horizontal="center" vertical="center"/>
      <protection/>
    </xf>
    <xf numFmtId="184" fontId="0" fillId="47" borderId="48" xfId="66" applyNumberFormat="1" applyFont="1" applyFill="1" applyBorder="1" applyAlignment="1" applyProtection="1">
      <alignment horizontal="center" vertical="center"/>
      <protection locked="0"/>
    </xf>
    <xf numFmtId="184" fontId="0" fillId="8" borderId="49" xfId="66" applyNumberFormat="1" applyFont="1" applyFill="1" applyBorder="1" applyAlignment="1" applyProtection="1">
      <alignment horizontal="center" vertical="center"/>
      <protection/>
    </xf>
    <xf numFmtId="182" fontId="13" fillId="48" borderId="73" xfId="0" applyNumberFormat="1" applyFont="1" applyFill="1" applyBorder="1" applyAlignment="1" applyProtection="1">
      <alignment horizontal="center" vertical="center" wrapText="1"/>
      <protection/>
    </xf>
    <xf numFmtId="192" fontId="0" fillId="45" borderId="52" xfId="66" applyNumberFormat="1" applyFont="1" applyFill="1" applyBorder="1" applyAlignment="1" applyProtection="1">
      <alignment vertical="center"/>
      <protection/>
    </xf>
    <xf numFmtId="192" fontId="0" fillId="45" borderId="50" xfId="66" applyNumberFormat="1" applyFont="1" applyFill="1" applyBorder="1" applyAlignment="1" applyProtection="1">
      <alignment vertical="center"/>
      <protection/>
    </xf>
    <xf numFmtId="182" fontId="13" fillId="39" borderId="81" xfId="0" applyNumberFormat="1" applyFont="1" applyFill="1" applyBorder="1" applyAlignment="1" applyProtection="1">
      <alignment horizontal="center" vertical="center" wrapText="1"/>
      <protection/>
    </xf>
    <xf numFmtId="182" fontId="13" fillId="39" borderId="19" xfId="0" applyNumberFormat="1" applyFont="1" applyFill="1" applyBorder="1" applyAlignment="1" applyProtection="1">
      <alignment horizontal="center" vertical="center" wrapText="1"/>
      <protection/>
    </xf>
    <xf numFmtId="184" fontId="0" fillId="47" borderId="44" xfId="66" applyNumberFormat="1" applyFont="1" applyFill="1" applyBorder="1" applyAlignment="1" applyProtection="1">
      <alignment horizontal="center" vertical="center"/>
      <protection locked="0"/>
    </xf>
    <xf numFmtId="0" fontId="0" fillId="8" borderId="47" xfId="0" applyFont="1" applyFill="1" applyBorder="1" applyAlignment="1" applyProtection="1">
      <alignment horizontal="left" vertical="center"/>
      <protection/>
    </xf>
    <xf numFmtId="182" fontId="13" fillId="48" borderId="81" xfId="0" applyNumberFormat="1" applyFont="1" applyFill="1" applyBorder="1" applyAlignment="1" applyProtection="1">
      <alignment horizontal="center" vertical="center" wrapText="1"/>
      <protection/>
    </xf>
    <xf numFmtId="182" fontId="13" fillId="48" borderId="82" xfId="0" applyNumberFormat="1" applyFont="1" applyFill="1" applyBorder="1" applyAlignment="1" applyProtection="1">
      <alignment horizontal="center" vertical="center" wrapText="1"/>
      <protection/>
    </xf>
    <xf numFmtId="192" fontId="0" fillId="45" borderId="26" xfId="66" applyNumberFormat="1" applyFont="1" applyFill="1" applyBorder="1" applyAlignment="1" applyProtection="1">
      <alignment vertical="center"/>
      <protection/>
    </xf>
    <xf numFmtId="192" fontId="0" fillId="45" borderId="98" xfId="66" applyNumberFormat="1" applyFont="1" applyFill="1" applyBorder="1" applyAlignment="1" applyProtection="1">
      <alignment vertical="center"/>
      <protection/>
    </xf>
    <xf numFmtId="184" fontId="0" fillId="47" borderId="99" xfId="66" applyNumberFormat="1" applyFont="1" applyFill="1" applyBorder="1" applyAlignment="1" applyProtection="1">
      <alignment horizontal="center" vertical="center"/>
      <protection locked="0"/>
    </xf>
    <xf numFmtId="184" fontId="0" fillId="8" borderId="98" xfId="66" applyNumberFormat="1" applyFont="1" applyFill="1" applyBorder="1" applyAlignment="1" applyProtection="1">
      <alignment horizontal="center" vertical="center"/>
      <protection/>
    </xf>
    <xf numFmtId="41" fontId="16" fillId="45" borderId="20" xfId="63" applyFont="1" applyFill="1" applyBorder="1" applyAlignment="1" applyProtection="1">
      <alignment vertical="center"/>
      <protection/>
    </xf>
    <xf numFmtId="182" fontId="0" fillId="45" borderId="20" xfId="66" applyNumberFormat="1" applyFont="1" applyFill="1" applyBorder="1" applyAlignment="1" applyProtection="1">
      <alignment vertical="center"/>
      <protection/>
    </xf>
    <xf numFmtId="190" fontId="0" fillId="45" borderId="20" xfId="62" applyNumberFormat="1" applyFill="1" applyBorder="1" applyProtection="1">
      <alignment/>
      <protection/>
    </xf>
    <xf numFmtId="0" fontId="10" fillId="14" borderId="42" xfId="0" applyFont="1" applyFill="1" applyBorder="1" applyAlignment="1" applyProtection="1">
      <alignment horizontal="center" vertical="center"/>
      <protection/>
    </xf>
    <xf numFmtId="9" fontId="0" fillId="15" borderId="34" xfId="0" applyNumberFormat="1" applyFont="1" applyFill="1" applyBorder="1" applyAlignment="1" applyProtection="1">
      <alignment horizontal="center" vertical="center"/>
      <protection/>
    </xf>
    <xf numFmtId="9" fontId="0" fillId="15" borderId="35" xfId="0" applyNumberFormat="1" applyFont="1" applyFill="1" applyBorder="1" applyAlignment="1" applyProtection="1">
      <alignment horizontal="center" vertical="center"/>
      <protection/>
    </xf>
    <xf numFmtId="9" fontId="0" fillId="15" borderId="33" xfId="0" applyNumberFormat="1" applyFont="1" applyFill="1" applyBorder="1" applyAlignment="1" applyProtection="1">
      <alignment horizontal="center" vertical="center"/>
      <protection/>
    </xf>
    <xf numFmtId="182" fontId="0" fillId="45" borderId="99" xfId="66" applyNumberFormat="1" applyFont="1" applyFill="1" applyBorder="1" applyAlignment="1" applyProtection="1">
      <alignment vertical="center"/>
      <protection/>
    </xf>
    <xf numFmtId="182" fontId="0" fillId="45" borderId="78" xfId="66" applyNumberFormat="1" applyFont="1" applyFill="1" applyBorder="1" applyAlignment="1" applyProtection="1">
      <alignment vertical="center"/>
      <protection/>
    </xf>
    <xf numFmtId="182" fontId="0" fillId="45" borderId="39" xfId="66" applyNumberFormat="1" applyFont="1" applyFill="1" applyBorder="1" applyAlignment="1" applyProtection="1">
      <alignment vertical="center"/>
      <protection/>
    </xf>
    <xf numFmtId="182" fontId="0" fillId="45" borderId="32" xfId="66" applyNumberFormat="1" applyFont="1" applyFill="1" applyBorder="1" applyAlignment="1" applyProtection="1">
      <alignment vertical="center"/>
      <protection/>
    </xf>
    <xf numFmtId="182" fontId="0" fillId="45" borderId="42" xfId="66" applyNumberFormat="1" applyFont="1" applyFill="1" applyBorder="1" applyAlignment="1" applyProtection="1">
      <alignment vertical="center"/>
      <protection/>
    </xf>
    <xf numFmtId="182" fontId="0" fillId="0" borderId="51" xfId="66" applyNumberFormat="1" applyFont="1" applyFill="1" applyBorder="1" applyAlignment="1" applyProtection="1">
      <alignment vertical="center"/>
      <protection/>
    </xf>
    <xf numFmtId="182" fontId="0" fillId="54" borderId="39" xfId="66" applyNumberFormat="1" applyFont="1" applyFill="1" applyBorder="1" applyAlignment="1" applyProtection="1">
      <alignment vertical="center"/>
      <protection/>
    </xf>
    <xf numFmtId="182" fontId="0" fillId="54" borderId="71" xfId="66" applyNumberFormat="1" applyFont="1" applyFill="1" applyBorder="1" applyAlignment="1" applyProtection="1">
      <alignment vertical="center"/>
      <protection/>
    </xf>
    <xf numFmtId="182" fontId="0" fillId="54" borderId="49" xfId="66" applyNumberFormat="1" applyFont="1" applyFill="1" applyBorder="1" applyAlignment="1" applyProtection="1">
      <alignment vertical="center"/>
      <protection/>
    </xf>
    <xf numFmtId="182" fontId="0" fillId="54" borderId="32" xfId="66" applyNumberFormat="1" applyFont="1" applyFill="1" applyBorder="1" applyAlignment="1" applyProtection="1">
      <alignment vertical="center"/>
      <protection/>
    </xf>
    <xf numFmtId="182" fontId="0" fillId="54" borderId="42" xfId="66" applyNumberFormat="1" applyFont="1" applyFill="1" applyBorder="1" applyAlignment="1" applyProtection="1">
      <alignment vertical="center"/>
      <protection/>
    </xf>
    <xf numFmtId="184" fontId="0" fillId="0" borderId="51" xfId="0" applyNumberFormat="1" applyFont="1" applyFill="1" applyBorder="1" applyAlignment="1" applyProtection="1">
      <alignment horizontal="center" vertical="center"/>
      <protection/>
    </xf>
    <xf numFmtId="184" fontId="0" fillId="0" borderId="50" xfId="0" applyNumberFormat="1" applyFont="1" applyFill="1" applyBorder="1" applyAlignment="1" applyProtection="1">
      <alignment horizontal="center" vertical="center"/>
      <protection/>
    </xf>
    <xf numFmtId="182" fontId="0" fillId="0" borderId="20" xfId="66" applyNumberFormat="1" applyFont="1" applyFill="1" applyBorder="1" applyAlignment="1" applyProtection="1">
      <alignment vertical="center"/>
      <protection/>
    </xf>
    <xf numFmtId="182" fontId="0" fillId="0" borderId="39" xfId="66" applyNumberFormat="1" applyFont="1" applyFill="1" applyBorder="1" applyAlignment="1" applyProtection="1">
      <alignment vertical="center"/>
      <protection/>
    </xf>
    <xf numFmtId="182" fontId="0" fillId="0" borderId="32" xfId="66" applyNumberFormat="1" applyFont="1" applyFill="1" applyBorder="1" applyAlignment="1" applyProtection="1">
      <alignment vertical="center"/>
      <protection/>
    </xf>
    <xf numFmtId="184" fontId="0" fillId="0" borderId="39" xfId="0" applyNumberFormat="1" applyFont="1" applyFill="1" applyBorder="1" applyAlignment="1" applyProtection="1">
      <alignment horizontal="center" vertical="center"/>
      <protection/>
    </xf>
    <xf numFmtId="182" fontId="0" fillId="45" borderId="79" xfId="66" applyNumberFormat="1" applyFont="1" applyFill="1" applyBorder="1" applyAlignment="1" applyProtection="1">
      <alignment vertical="center"/>
      <protection/>
    </xf>
    <xf numFmtId="182" fontId="0" fillId="54" borderId="99" xfId="66" applyNumberFormat="1" applyFont="1" applyFill="1" applyBorder="1" applyAlignment="1" applyProtection="1">
      <alignment vertical="center"/>
      <protection/>
    </xf>
    <xf numFmtId="182" fontId="0" fillId="54" borderId="78" xfId="66" applyNumberFormat="1" applyFont="1" applyFill="1" applyBorder="1" applyAlignment="1" applyProtection="1">
      <alignment vertical="center"/>
      <protection/>
    </xf>
    <xf numFmtId="182" fontId="0" fillId="54" borderId="44" xfId="66" applyNumberFormat="1" applyFont="1" applyFill="1" applyBorder="1" applyAlignment="1" applyProtection="1">
      <alignment vertical="center"/>
      <protection/>
    </xf>
    <xf numFmtId="182" fontId="0" fillId="54" borderId="79" xfId="66" applyNumberFormat="1" applyFont="1" applyFill="1" applyBorder="1" applyAlignment="1" applyProtection="1">
      <alignment vertical="center"/>
      <protection/>
    </xf>
    <xf numFmtId="182" fontId="0" fillId="0" borderId="73" xfId="66" applyNumberFormat="1" applyFont="1" applyFill="1" applyBorder="1" applyAlignment="1" applyProtection="1">
      <alignment vertical="center"/>
      <protection/>
    </xf>
    <xf numFmtId="182" fontId="0" fillId="0" borderId="94" xfId="66" applyNumberFormat="1" applyFont="1" applyFill="1" applyBorder="1" applyAlignment="1" applyProtection="1">
      <alignment vertical="center"/>
      <protection/>
    </xf>
    <xf numFmtId="182" fontId="0" fillId="0" borderId="95" xfId="66" applyNumberFormat="1" applyFont="1" applyFill="1" applyBorder="1" applyAlignment="1" applyProtection="1">
      <alignment vertical="center"/>
      <protection/>
    </xf>
    <xf numFmtId="184" fontId="0" fillId="0" borderId="63" xfId="0" applyNumberFormat="1" applyFont="1" applyFill="1" applyBorder="1" applyAlignment="1" applyProtection="1">
      <alignment horizontal="center" vertical="center"/>
      <protection/>
    </xf>
    <xf numFmtId="184" fontId="0" fillId="0" borderId="94" xfId="0" applyNumberFormat="1" applyFont="1" applyFill="1" applyBorder="1" applyAlignment="1" applyProtection="1">
      <alignment horizontal="center" vertical="center"/>
      <protection/>
    </xf>
    <xf numFmtId="184" fontId="0" fillId="0" borderId="64" xfId="0" applyNumberFormat="1" applyFont="1" applyFill="1" applyBorder="1" applyAlignment="1" applyProtection="1">
      <alignment horizontal="center" vertical="center"/>
      <protection/>
    </xf>
    <xf numFmtId="182" fontId="0" fillId="54" borderId="63" xfId="66" applyNumberFormat="1" applyFont="1" applyFill="1" applyBorder="1" applyAlignment="1" applyProtection="1">
      <alignment vertical="center"/>
      <protection/>
    </xf>
    <xf numFmtId="182" fontId="0" fillId="54" borderId="94" xfId="66" applyNumberFormat="1" applyFont="1" applyFill="1" applyBorder="1" applyAlignment="1" applyProtection="1">
      <alignment vertical="center"/>
      <protection/>
    </xf>
    <xf numFmtId="182" fontId="0" fillId="54" borderId="95" xfId="66" applyNumberFormat="1" applyFont="1" applyFill="1" applyBorder="1" applyAlignment="1" applyProtection="1">
      <alignment vertical="center"/>
      <protection/>
    </xf>
    <xf numFmtId="182" fontId="0" fillId="0" borderId="63" xfId="66" applyNumberFormat="1" applyFont="1" applyFill="1" applyBorder="1" applyAlignment="1" applyProtection="1">
      <alignment vertical="center"/>
      <protection/>
    </xf>
    <xf numFmtId="182" fontId="0" fillId="45" borderId="44" xfId="66" applyNumberFormat="1" applyFont="1" applyFill="1" applyBorder="1" applyAlignment="1" applyProtection="1">
      <alignment vertical="center"/>
      <protection/>
    </xf>
    <xf numFmtId="184" fontId="0" fillId="0" borderId="52" xfId="0" applyNumberFormat="1" applyFont="1" applyFill="1" applyBorder="1" applyAlignment="1" applyProtection="1">
      <alignment horizontal="center" vertical="center"/>
      <protection/>
    </xf>
    <xf numFmtId="182" fontId="0" fillId="60" borderId="20" xfId="66" applyNumberFormat="1" applyFont="1" applyFill="1" applyBorder="1" applyAlignment="1" applyProtection="1">
      <alignment vertical="center"/>
      <protection/>
    </xf>
    <xf numFmtId="182" fontId="0" fillId="65" borderId="20" xfId="66" applyNumberFormat="1" applyFont="1" applyFill="1" applyBorder="1" applyAlignment="1" applyProtection="1">
      <alignment vertical="center"/>
      <protection/>
    </xf>
    <xf numFmtId="182" fontId="0" fillId="65" borderId="47" xfId="66" applyNumberFormat="1" applyFont="1" applyFill="1" applyBorder="1" applyAlignment="1" applyProtection="1">
      <alignment vertical="center"/>
      <protection/>
    </xf>
    <xf numFmtId="182" fontId="0" fillId="1" borderId="20" xfId="66" applyNumberFormat="1" applyFont="1" applyFill="1" applyBorder="1" applyAlignment="1" applyProtection="1">
      <alignment vertical="center"/>
      <protection/>
    </xf>
    <xf numFmtId="182" fontId="0" fillId="1" borderId="46" xfId="66" applyNumberFormat="1" applyFont="1" applyFill="1" applyBorder="1" applyAlignment="1" applyProtection="1">
      <alignment vertical="center"/>
      <protection/>
    </xf>
    <xf numFmtId="184" fontId="0" fillId="1" borderId="20" xfId="0" applyNumberFormat="1" applyFont="1" applyFill="1" applyBorder="1" applyAlignment="1" applyProtection="1">
      <alignment horizontal="center" vertical="center"/>
      <protection/>
    </xf>
    <xf numFmtId="184" fontId="0" fillId="1" borderId="46" xfId="0" applyNumberFormat="1" applyFont="1" applyFill="1" applyBorder="1" applyAlignment="1" applyProtection="1">
      <alignment horizontal="center" vertical="center"/>
      <protection/>
    </xf>
    <xf numFmtId="192" fontId="0" fillId="47" borderId="51" xfId="66" applyNumberFormat="1" applyFont="1" applyFill="1" applyBorder="1" applyAlignment="1" applyProtection="1">
      <alignment vertical="center"/>
      <protection locked="0"/>
    </xf>
    <xf numFmtId="192" fontId="0" fillId="47" borderId="52" xfId="66" applyNumberFormat="1" applyFont="1" applyFill="1" applyBorder="1" applyAlignment="1" applyProtection="1">
      <alignment vertical="center"/>
      <protection locked="0"/>
    </xf>
    <xf numFmtId="192" fontId="0" fillId="47" borderId="50" xfId="66" applyNumberFormat="1" applyFont="1" applyFill="1" applyBorder="1" applyAlignment="1" applyProtection="1">
      <alignment vertical="center"/>
      <protection locked="0"/>
    </xf>
    <xf numFmtId="192" fontId="0" fillId="47" borderId="78" xfId="66" applyNumberFormat="1" applyFont="1" applyFill="1" applyBorder="1" applyAlignment="1" applyProtection="1">
      <alignment vertical="center"/>
      <protection locked="0"/>
    </xf>
    <xf numFmtId="0" fontId="0" fillId="47" borderId="78" xfId="0" applyFont="1" applyFill="1" applyBorder="1" applyAlignment="1" applyProtection="1">
      <alignment horizontal="left" vertical="center"/>
      <protection locked="0"/>
    </xf>
    <xf numFmtId="0" fontId="0" fillId="47" borderId="79" xfId="0" applyFont="1" applyFill="1" applyBorder="1" applyAlignment="1" applyProtection="1">
      <alignment horizontal="left" vertical="center"/>
      <protection locked="0"/>
    </xf>
    <xf numFmtId="191" fontId="0" fillId="45" borderId="100" xfId="0" applyNumberFormat="1" applyFont="1" applyFill="1" applyBorder="1" applyAlignment="1" applyProtection="1">
      <alignment horizontal="right" vertical="center"/>
      <protection/>
    </xf>
    <xf numFmtId="0" fontId="0" fillId="47" borderId="77" xfId="0" applyFont="1" applyFill="1" applyBorder="1" applyAlignment="1" applyProtection="1">
      <alignment horizontal="left" vertical="center"/>
      <protection locked="0"/>
    </xf>
    <xf numFmtId="192" fontId="0" fillId="47" borderId="77" xfId="66" applyNumberFormat="1" applyFont="1" applyFill="1" applyBorder="1" applyAlignment="1" applyProtection="1">
      <alignment vertical="center"/>
      <protection locked="0"/>
    </xf>
    <xf numFmtId="0" fontId="0" fillId="47" borderId="20" xfId="0" applyFont="1" applyFill="1" applyBorder="1" applyAlignment="1" applyProtection="1">
      <alignment horizontal="left" vertical="center"/>
      <protection locked="0"/>
    </xf>
    <xf numFmtId="0" fontId="0" fillId="47" borderId="47" xfId="0" applyFont="1" applyFill="1" applyBorder="1" applyAlignment="1" applyProtection="1">
      <alignment horizontal="left" vertical="center"/>
      <protection locked="0"/>
    </xf>
    <xf numFmtId="0" fontId="0" fillId="47" borderId="95" xfId="0" applyFont="1" applyFill="1" applyBorder="1" applyAlignment="1" applyProtection="1">
      <alignment horizontal="left" vertical="center"/>
      <protection locked="0"/>
    </xf>
    <xf numFmtId="191" fontId="18" fillId="57" borderId="70" xfId="0" applyNumberFormat="1" applyFont="1" applyFill="1" applyBorder="1" applyAlignment="1" applyProtection="1">
      <alignment horizontal="center" vertical="center"/>
      <protection/>
    </xf>
    <xf numFmtId="0" fontId="0" fillId="47" borderId="52" xfId="0" applyFont="1" applyFill="1" applyBorder="1" applyAlignment="1" applyProtection="1">
      <alignment horizontal="left" vertical="center"/>
      <protection locked="0"/>
    </xf>
    <xf numFmtId="192" fontId="0" fillId="47" borderId="86" xfId="66" applyNumberFormat="1" applyFont="1" applyFill="1" applyBorder="1" applyAlignment="1" applyProtection="1">
      <alignment vertical="center"/>
      <protection locked="0"/>
    </xf>
    <xf numFmtId="192" fontId="0" fillId="47" borderId="87" xfId="66" applyNumberFormat="1" applyFont="1" applyFill="1" applyBorder="1" applyAlignment="1" applyProtection="1">
      <alignment vertical="center"/>
      <protection locked="0"/>
    </xf>
    <xf numFmtId="191" fontId="0" fillId="45" borderId="34" xfId="0" applyNumberFormat="1" applyFont="1" applyFill="1" applyBorder="1" applyAlignment="1" applyProtection="1">
      <alignment horizontal="right" vertical="center"/>
      <protection/>
    </xf>
    <xf numFmtId="191" fontId="0" fillId="45" borderId="101" xfId="0" applyNumberFormat="1" applyFont="1" applyFill="1" applyBorder="1" applyAlignment="1" applyProtection="1">
      <alignment horizontal="right" vertical="center"/>
      <protection/>
    </xf>
    <xf numFmtId="182" fontId="13" fillId="48" borderId="102" xfId="0" applyNumberFormat="1" applyFont="1" applyFill="1" applyBorder="1" applyAlignment="1" applyProtection="1">
      <alignment horizontal="center" vertical="center" wrapText="1"/>
      <protection/>
    </xf>
    <xf numFmtId="182" fontId="13" fillId="48" borderId="103" xfId="0" applyNumberFormat="1" applyFont="1" applyFill="1" applyBorder="1" applyAlignment="1" applyProtection="1">
      <alignment horizontal="center" vertical="center" wrapText="1"/>
      <protection/>
    </xf>
    <xf numFmtId="182" fontId="0" fillId="0" borderId="20" xfId="66" applyNumberFormat="1" applyFont="1" applyFill="1" applyBorder="1" applyAlignment="1" applyProtection="1">
      <alignment vertical="center"/>
      <protection/>
    </xf>
    <xf numFmtId="182" fontId="0" fillId="66" borderId="20" xfId="66" applyNumberFormat="1" applyFont="1" applyFill="1" applyBorder="1" applyAlignment="1" applyProtection="1">
      <alignment horizontal="right" vertical="center"/>
      <protection/>
    </xf>
    <xf numFmtId="187" fontId="0" fillId="0" borderId="20" xfId="62" applyNumberFormat="1" applyFont="1" applyFill="1" applyBorder="1" applyAlignment="1" applyProtection="1">
      <alignment vertical="center"/>
      <protection/>
    </xf>
    <xf numFmtId="182" fontId="13" fillId="62" borderId="20" xfId="66" applyNumberFormat="1" applyFont="1" applyFill="1" applyBorder="1" applyAlignment="1" applyProtection="1">
      <alignment vertical="center"/>
      <protection/>
    </xf>
    <xf numFmtId="182" fontId="13" fillId="62" borderId="20" xfId="66" applyNumberFormat="1" applyFont="1" applyFill="1" applyBorder="1" applyAlignment="1" applyProtection="1">
      <alignment horizontal="right" vertical="center"/>
      <protection/>
    </xf>
    <xf numFmtId="182" fontId="0" fillId="0" borderId="77" xfId="66" applyNumberFormat="1" applyFont="1" applyFill="1" applyBorder="1" applyAlignment="1" applyProtection="1">
      <alignment vertical="center"/>
      <protection/>
    </xf>
    <xf numFmtId="182" fontId="0" fillId="66" borderId="77" xfId="66" applyNumberFormat="1" applyFont="1" applyFill="1" applyBorder="1" applyAlignment="1" applyProtection="1">
      <alignment horizontal="right" vertical="center"/>
      <protection/>
    </xf>
    <xf numFmtId="182" fontId="18" fillId="53" borderId="94" xfId="66" applyNumberFormat="1" applyFont="1" applyFill="1" applyBorder="1" applyAlignment="1" applyProtection="1">
      <alignment vertical="center" wrapText="1"/>
      <protection/>
    </xf>
    <xf numFmtId="182" fontId="18" fillId="53" borderId="64" xfId="66" applyNumberFormat="1" applyFont="1" applyFill="1" applyBorder="1" applyAlignment="1" applyProtection="1">
      <alignment vertical="center" wrapText="1"/>
      <protection/>
    </xf>
    <xf numFmtId="182" fontId="0" fillId="1" borderId="20" xfId="66" applyNumberFormat="1" applyFont="1" applyFill="1" applyBorder="1" applyAlignment="1" applyProtection="1">
      <alignment vertical="center"/>
      <protection/>
    </xf>
    <xf numFmtId="187" fontId="0" fillId="1" borderId="20" xfId="62" applyNumberFormat="1" applyFont="1" applyFill="1" applyBorder="1" applyAlignment="1" applyProtection="1">
      <alignment vertical="center"/>
      <protection/>
    </xf>
    <xf numFmtId="182" fontId="13" fillId="67" borderId="20" xfId="66" applyNumberFormat="1" applyFont="1" applyFill="1" applyBorder="1" applyAlignment="1" applyProtection="1">
      <alignment vertical="center"/>
      <protection/>
    </xf>
    <xf numFmtId="182" fontId="18" fillId="53" borderId="80" xfId="66" applyNumberFormat="1" applyFont="1" applyFill="1" applyBorder="1" applyAlignment="1" applyProtection="1">
      <alignment vertical="center" wrapText="1"/>
      <protection/>
    </xf>
    <xf numFmtId="182" fontId="18" fillId="53" borderId="76" xfId="66" applyNumberFormat="1" applyFont="1" applyFill="1" applyBorder="1" applyAlignment="1" applyProtection="1">
      <alignment vertical="center" wrapText="1"/>
      <protection/>
    </xf>
    <xf numFmtId="182" fontId="13" fillId="62" borderId="47" xfId="66" applyNumberFormat="1" applyFont="1" applyFill="1" applyBorder="1" applyAlignment="1" applyProtection="1">
      <alignment vertical="center"/>
      <protection/>
    </xf>
    <xf numFmtId="182" fontId="18" fillId="53" borderId="95" xfId="66" applyNumberFormat="1" applyFont="1" applyFill="1" applyBorder="1" applyAlignment="1" applyProtection="1">
      <alignment vertical="center" wrapText="1"/>
      <protection/>
    </xf>
    <xf numFmtId="182" fontId="13" fillId="67" borderId="47" xfId="66" applyNumberFormat="1" applyFont="1" applyFill="1" applyBorder="1" applyAlignment="1" applyProtection="1">
      <alignment vertical="center"/>
      <protection/>
    </xf>
    <xf numFmtId="182" fontId="18" fillId="53" borderId="104" xfId="66" applyNumberFormat="1" applyFont="1" applyFill="1" applyBorder="1" applyAlignment="1" applyProtection="1">
      <alignment vertical="center" wrapText="1"/>
      <protection/>
    </xf>
    <xf numFmtId="182" fontId="0" fillId="66" borderId="51" xfId="66" applyNumberFormat="1" applyFont="1" applyFill="1" applyBorder="1" applyAlignment="1" applyProtection="1">
      <alignment horizontal="right" vertical="center"/>
      <protection/>
    </xf>
    <xf numFmtId="182" fontId="0" fillId="66" borderId="52" xfId="66" applyNumberFormat="1" applyFont="1" applyFill="1" applyBorder="1" applyAlignment="1" applyProtection="1">
      <alignment horizontal="right" vertical="center"/>
      <protection/>
    </xf>
    <xf numFmtId="182" fontId="13" fillId="62" borderId="52" xfId="66" applyNumberFormat="1" applyFont="1" applyFill="1" applyBorder="1" applyAlignment="1" applyProtection="1">
      <alignment horizontal="right" vertical="center"/>
      <protection/>
    </xf>
    <xf numFmtId="182" fontId="18" fillId="53" borderId="73" xfId="66" applyNumberFormat="1" applyFont="1" applyFill="1" applyBorder="1" applyAlignment="1" applyProtection="1">
      <alignment vertical="center" wrapText="1"/>
      <protection/>
    </xf>
    <xf numFmtId="182" fontId="18" fillId="53" borderId="105" xfId="66" applyNumberFormat="1" applyFont="1" applyFill="1" applyBorder="1" applyAlignment="1" applyProtection="1">
      <alignment vertical="center" wrapText="1"/>
      <protection/>
    </xf>
    <xf numFmtId="182" fontId="13" fillId="48" borderId="30" xfId="0" applyNumberFormat="1" applyFont="1" applyFill="1" applyBorder="1" applyAlignment="1" applyProtection="1">
      <alignment horizontal="center" vertical="center" wrapText="1"/>
      <protection/>
    </xf>
    <xf numFmtId="182" fontId="0" fillId="0" borderId="39" xfId="66" applyNumberFormat="1" applyFont="1" applyFill="1" applyBorder="1" applyAlignment="1" applyProtection="1">
      <alignment vertical="center"/>
      <protection/>
    </xf>
    <xf numFmtId="182" fontId="0" fillId="0" borderId="53" xfId="66" applyNumberFormat="1" applyFont="1" applyFill="1" applyBorder="1" applyAlignment="1" applyProtection="1">
      <alignment vertical="center"/>
      <protection/>
    </xf>
    <xf numFmtId="187" fontId="0" fillId="0" borderId="44" xfId="62" applyNumberFormat="1" applyFont="1" applyFill="1" applyBorder="1" applyAlignment="1" applyProtection="1">
      <alignment vertical="center"/>
      <protection/>
    </xf>
    <xf numFmtId="182" fontId="13" fillId="62" borderId="44" xfId="66" applyNumberFormat="1" applyFont="1" applyFill="1" applyBorder="1" applyAlignment="1" applyProtection="1">
      <alignment vertical="center"/>
      <protection/>
    </xf>
    <xf numFmtId="182" fontId="18" fillId="53" borderId="63" xfId="66" applyNumberFormat="1" applyFont="1" applyFill="1" applyBorder="1" applyAlignment="1" applyProtection="1">
      <alignment vertical="center" wrapText="1"/>
      <protection/>
    </xf>
    <xf numFmtId="182" fontId="0" fillId="0" borderId="32" xfId="0" applyNumberFormat="1" applyFill="1" applyBorder="1" applyAlignment="1" applyProtection="1">
      <alignment vertical="center"/>
      <protection/>
    </xf>
    <xf numFmtId="182" fontId="0" fillId="0" borderId="47" xfId="0" applyNumberFormat="1" applyFont="1" applyFill="1" applyBorder="1" applyAlignment="1" applyProtection="1">
      <alignment vertical="center"/>
      <protection/>
    </xf>
    <xf numFmtId="182" fontId="13" fillId="62" borderId="47" xfId="0" applyNumberFormat="1" applyFont="1" applyFill="1" applyBorder="1" applyAlignment="1" applyProtection="1">
      <alignment vertical="center"/>
      <protection/>
    </xf>
    <xf numFmtId="182" fontId="0" fillId="0" borderId="47" xfId="0" applyNumberFormat="1" applyFill="1" applyBorder="1" applyAlignment="1" applyProtection="1">
      <alignment vertical="center"/>
      <protection/>
    </xf>
    <xf numFmtId="182" fontId="0" fillId="0" borderId="44" xfId="66" applyNumberFormat="1" applyFont="1" applyFill="1" applyBorder="1" applyAlignment="1" applyProtection="1">
      <alignment vertical="center"/>
      <protection/>
    </xf>
    <xf numFmtId="182" fontId="0" fillId="1" borderId="39" xfId="66" applyNumberFormat="1" applyFont="1" applyFill="1" applyBorder="1" applyAlignment="1" applyProtection="1">
      <alignment vertical="center"/>
      <protection/>
    </xf>
    <xf numFmtId="187" fontId="0" fillId="1" borderId="44" xfId="62" applyNumberFormat="1" applyFont="1" applyFill="1" applyBorder="1" applyAlignment="1" applyProtection="1">
      <alignment vertical="center"/>
      <protection/>
    </xf>
    <xf numFmtId="182" fontId="13" fillId="67" borderId="44" xfId="66" applyNumberFormat="1" applyFont="1" applyFill="1" applyBorder="1" applyAlignment="1" applyProtection="1">
      <alignment vertical="center"/>
      <protection/>
    </xf>
    <xf numFmtId="182" fontId="0" fillId="1" borderId="44" xfId="66" applyNumberFormat="1" applyFont="1" applyFill="1" applyBorder="1" applyAlignment="1" applyProtection="1">
      <alignment vertical="center"/>
      <protection/>
    </xf>
    <xf numFmtId="182" fontId="13" fillId="67" borderId="46" xfId="66" applyNumberFormat="1" applyFont="1" applyFill="1" applyBorder="1" applyAlignment="1" applyProtection="1">
      <alignment vertical="center"/>
      <protection/>
    </xf>
    <xf numFmtId="182" fontId="0" fillId="58" borderId="32" xfId="66" applyNumberFormat="1" applyFont="1" applyFill="1" applyBorder="1" applyAlignment="1" applyProtection="1">
      <alignment vertical="center"/>
      <protection/>
    </xf>
    <xf numFmtId="187" fontId="0" fillId="47" borderId="47" xfId="62" applyNumberFormat="1" applyFont="1" applyFill="1" applyBorder="1" applyAlignment="1" applyProtection="1">
      <alignment vertical="center"/>
      <protection locked="0"/>
    </xf>
    <xf numFmtId="182" fontId="0" fillId="58" borderId="47" xfId="66" applyNumberFormat="1" applyFont="1" applyFill="1" applyBorder="1" applyAlignment="1" applyProtection="1">
      <alignment vertical="center"/>
      <protection/>
    </xf>
    <xf numFmtId="182" fontId="0" fillId="68" borderId="32" xfId="66" applyNumberFormat="1" applyFont="1" applyFill="1" applyBorder="1" applyAlignment="1" applyProtection="1">
      <alignment vertical="center"/>
      <protection/>
    </xf>
    <xf numFmtId="187" fontId="0" fillId="68" borderId="47" xfId="62" applyNumberFormat="1" applyFont="1" applyFill="1" applyBorder="1" applyAlignment="1" applyProtection="1">
      <alignment vertical="center"/>
      <protection/>
    </xf>
    <xf numFmtId="182" fontId="0" fillId="68" borderId="47" xfId="66" applyNumberFormat="1" applyFont="1" applyFill="1" applyBorder="1" applyAlignment="1" applyProtection="1">
      <alignment vertical="center"/>
      <protection/>
    </xf>
    <xf numFmtId="182" fontId="13" fillId="62" borderId="35" xfId="66" applyNumberFormat="1" applyFont="1" applyFill="1" applyBorder="1" applyAlignment="1" applyProtection="1">
      <alignment horizontal="right" vertical="center"/>
      <protection/>
    </xf>
    <xf numFmtId="182" fontId="18" fillId="53" borderId="37" xfId="66" applyNumberFormat="1" applyFont="1" applyFill="1" applyBorder="1" applyAlignment="1" applyProtection="1">
      <alignment vertical="center" wrapText="1"/>
      <protection/>
    </xf>
    <xf numFmtId="182" fontId="18" fillId="53" borderId="74" xfId="66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Border="1" applyAlignment="1" applyProtection="1">
      <alignment/>
      <protection/>
    </xf>
    <xf numFmtId="182" fontId="0" fillId="60" borderId="20" xfId="66" applyNumberFormat="1" applyFont="1" applyFill="1" applyBorder="1" applyAlignment="1" applyProtection="1">
      <alignment vertical="center"/>
      <protection/>
    </xf>
    <xf numFmtId="182" fontId="0" fillId="60" borderId="47" xfId="66" applyNumberFormat="1" applyFont="1" applyFill="1" applyBorder="1" applyAlignment="1" applyProtection="1">
      <alignment vertical="center"/>
      <protection/>
    </xf>
    <xf numFmtId="194" fontId="0" fillId="65" borderId="20" xfId="79" applyNumberFormat="1" applyFill="1" applyBorder="1" applyAlignment="1" applyProtection="1">
      <alignment horizontal="center" vertical="center"/>
      <protection/>
    </xf>
    <xf numFmtId="194" fontId="0" fillId="65" borderId="47" xfId="79" applyNumberFormat="1" applyFill="1" applyBorder="1" applyAlignment="1" applyProtection="1">
      <alignment horizontal="center" vertical="center"/>
      <protection/>
    </xf>
    <xf numFmtId="192" fontId="0" fillId="47" borderId="39" xfId="66" applyNumberFormat="1" applyFont="1" applyFill="1" applyBorder="1" applyAlignment="1" applyProtection="1">
      <alignment vertical="center"/>
      <protection locked="0"/>
    </xf>
    <xf numFmtId="0" fontId="0" fillId="47" borderId="20" xfId="0" applyFill="1" applyBorder="1" applyAlignment="1" applyProtection="1">
      <alignment horizontal="left" vertical="center"/>
      <protection locked="0"/>
    </xf>
    <xf numFmtId="0" fontId="0" fillId="47" borderId="47" xfId="0" applyFill="1" applyBorder="1" applyAlignment="1" applyProtection="1">
      <alignment horizontal="left" vertical="center"/>
      <protection locked="0"/>
    </xf>
    <xf numFmtId="0" fontId="0" fillId="47" borderId="73" xfId="0" applyFont="1" applyFill="1" applyBorder="1" applyAlignment="1" applyProtection="1">
      <alignment horizontal="left" vertical="center"/>
      <protection locked="0"/>
    </xf>
    <xf numFmtId="0" fontId="0" fillId="47" borderId="94" xfId="0" applyFont="1" applyFill="1" applyBorder="1" applyAlignment="1" applyProtection="1">
      <alignment horizontal="left" vertical="center"/>
      <protection locked="0"/>
    </xf>
    <xf numFmtId="0" fontId="0" fillId="47" borderId="94" xfId="0" applyFont="1" applyFill="1" applyBorder="1" applyAlignment="1" applyProtection="1">
      <alignment/>
      <protection locked="0"/>
    </xf>
    <xf numFmtId="0" fontId="0" fillId="47" borderId="95" xfId="0" applyFont="1" applyFill="1" applyBorder="1" applyAlignment="1" applyProtection="1">
      <alignment/>
      <protection locked="0"/>
    </xf>
    <xf numFmtId="192" fontId="0" fillId="47" borderId="47" xfId="0" applyNumberFormat="1" applyFont="1" applyFill="1" applyBorder="1" applyAlignment="1" applyProtection="1">
      <alignment/>
      <protection locked="0"/>
    </xf>
    <xf numFmtId="0" fontId="70" fillId="0" borderId="0" xfId="0" applyFont="1" applyFill="1" applyAlignment="1" applyProtection="1">
      <alignment/>
      <protection locked="0"/>
    </xf>
    <xf numFmtId="0" fontId="74" fillId="0" borderId="0" xfId="0" applyFont="1" applyFill="1" applyAlignment="1" applyProtection="1">
      <alignment/>
      <protection locked="0"/>
    </xf>
    <xf numFmtId="0" fontId="74" fillId="0" borderId="74" xfId="0" applyFont="1" applyFill="1" applyBorder="1" applyAlignment="1" applyProtection="1">
      <alignment horizontal="center"/>
      <protection locked="0"/>
    </xf>
    <xf numFmtId="49" fontId="0" fillId="0" borderId="74" xfId="76" applyNumberFormat="1" applyFont="1" applyFill="1" applyBorder="1" applyProtection="1">
      <alignment/>
      <protection locked="0"/>
    </xf>
    <xf numFmtId="49" fontId="0" fillId="0" borderId="74" xfId="76" applyNumberFormat="1" applyFont="1" applyFill="1" applyBorder="1" applyAlignment="1" applyProtection="1">
      <alignment horizontal="center"/>
      <protection locked="0"/>
    </xf>
    <xf numFmtId="200" fontId="0" fillId="0" borderId="74" xfId="62" applyNumberFormat="1" applyFont="1" applyFill="1" applyBorder="1" applyProtection="1">
      <alignment/>
      <protection locked="0"/>
    </xf>
    <xf numFmtId="200" fontId="0" fillId="0" borderId="74" xfId="62" applyNumberFormat="1" applyFont="1" applyFill="1" applyBorder="1" applyAlignment="1" applyProtection="1">
      <alignment wrapText="1"/>
      <protection locked="0"/>
    </xf>
    <xf numFmtId="200" fontId="0" fillId="0" borderId="106" xfId="62" applyNumberFormat="1" applyFont="1" applyFill="1" applyBorder="1" applyProtection="1">
      <alignment/>
      <protection locked="0"/>
    </xf>
    <xf numFmtId="0" fontId="0" fillId="0" borderId="75" xfId="0" applyBorder="1" applyAlignment="1" applyProtection="1">
      <alignment/>
      <protection locked="0"/>
    </xf>
    <xf numFmtId="200" fontId="0" fillId="0" borderId="104" xfId="62" applyNumberFormat="1" applyFont="1" applyFill="1" applyBorder="1" applyProtection="1">
      <alignment/>
      <protection locked="0"/>
    </xf>
    <xf numFmtId="0" fontId="74" fillId="0" borderId="35" xfId="0" applyFont="1" applyFill="1" applyBorder="1" applyAlignment="1" applyProtection="1">
      <alignment horizontal="center"/>
      <protection locked="0"/>
    </xf>
    <xf numFmtId="3" fontId="74" fillId="58" borderId="35" xfId="0" applyNumberFormat="1" applyFont="1" applyFill="1" applyBorder="1" applyAlignment="1" applyProtection="1">
      <alignment/>
      <protection locked="0"/>
    </xf>
    <xf numFmtId="49" fontId="0" fillId="0" borderId="35" xfId="76" applyNumberFormat="1" applyFont="1" applyFill="1" applyBorder="1" applyAlignment="1" applyProtection="1">
      <alignment horizontal="center"/>
      <protection locked="0"/>
    </xf>
    <xf numFmtId="200" fontId="0" fillId="0" borderId="35" xfId="62" applyNumberFormat="1" applyFont="1" applyFill="1" applyBorder="1" applyProtection="1">
      <alignment/>
      <protection locked="0"/>
    </xf>
    <xf numFmtId="193" fontId="0" fillId="0" borderId="35" xfId="62" applyNumberFormat="1" applyFont="1" applyFill="1" applyBorder="1" applyAlignment="1" applyProtection="1">
      <alignment horizontal="center"/>
      <protection locked="0"/>
    </xf>
    <xf numFmtId="200" fontId="0" fillId="0" borderId="101" xfId="62" applyNumberFormat="1" applyFont="1" applyFill="1" applyBorder="1" applyProtection="1">
      <alignment/>
      <protection locked="0"/>
    </xf>
    <xf numFmtId="190" fontId="0" fillId="0" borderId="35" xfId="62" applyNumberFormat="1" applyBorder="1" applyProtection="1">
      <alignment/>
      <protection locked="0"/>
    </xf>
    <xf numFmtId="200" fontId="0" fillId="0" borderId="86" xfId="62" applyNumberFormat="1" applyFont="1" applyFill="1" applyBorder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2" fontId="76" fillId="0" borderId="0" xfId="0" applyNumberFormat="1" applyFont="1" applyAlignment="1" applyProtection="1">
      <alignment vertical="center"/>
      <protection/>
    </xf>
    <xf numFmtId="3" fontId="23" fillId="0" borderId="0" xfId="0" applyNumberFormat="1" applyFont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0" fillId="0" borderId="0" xfId="72">
      <alignment/>
      <protection/>
    </xf>
    <xf numFmtId="0" fontId="19" fillId="0" borderId="0" xfId="72" applyFont="1">
      <alignment/>
      <protection/>
    </xf>
    <xf numFmtId="0" fontId="13" fillId="0" borderId="0" xfId="72" applyFont="1">
      <alignment/>
      <protection/>
    </xf>
    <xf numFmtId="0" fontId="13" fillId="0" borderId="94" xfId="72" applyFont="1" applyBorder="1">
      <alignment/>
      <protection/>
    </xf>
    <xf numFmtId="0" fontId="13" fillId="0" borderId="47" xfId="72" applyFont="1" applyBorder="1">
      <alignment/>
      <protection/>
    </xf>
    <xf numFmtId="0" fontId="13" fillId="0" borderId="69" xfId="72" applyFont="1" applyBorder="1">
      <alignment/>
      <protection/>
    </xf>
    <xf numFmtId="0" fontId="13" fillId="0" borderId="52" xfId="72" applyFont="1" applyBorder="1">
      <alignment/>
      <protection/>
    </xf>
    <xf numFmtId="0" fontId="13" fillId="0" borderId="95" xfId="72" applyFont="1" applyBorder="1">
      <alignment/>
      <protection/>
    </xf>
    <xf numFmtId="0" fontId="13" fillId="0" borderId="107" xfId="72" applyFont="1" applyBorder="1" applyAlignment="1">
      <alignment horizontal="center"/>
      <protection/>
    </xf>
    <xf numFmtId="0" fontId="13" fillId="0" borderId="73" xfId="72" applyFont="1" applyBorder="1">
      <alignment/>
      <protection/>
    </xf>
    <xf numFmtId="0" fontId="13" fillId="58" borderId="95" xfId="72" applyFont="1" applyFill="1" applyBorder="1">
      <alignment/>
      <protection/>
    </xf>
    <xf numFmtId="0" fontId="13" fillId="58" borderId="107" xfId="72" applyFont="1" applyFill="1" applyBorder="1" applyAlignment="1">
      <alignment horizontal="center"/>
      <protection/>
    </xf>
    <xf numFmtId="0" fontId="13" fillId="58" borderId="73" xfId="72" applyFont="1" applyFill="1" applyBorder="1">
      <alignment/>
      <protection/>
    </xf>
    <xf numFmtId="0" fontId="13" fillId="0" borderId="78" xfId="72" applyFont="1" applyBorder="1">
      <alignment/>
      <protection/>
    </xf>
    <xf numFmtId="0" fontId="13" fillId="0" borderId="20" xfId="72" applyFont="1" applyBorder="1" applyAlignment="1">
      <alignment horizontal="center"/>
      <protection/>
    </xf>
    <xf numFmtId="0" fontId="13" fillId="58" borderId="20" xfId="72" applyFont="1" applyFill="1" applyBorder="1" applyAlignment="1">
      <alignment horizontal="center"/>
      <protection/>
    </xf>
    <xf numFmtId="0" fontId="13" fillId="47" borderId="20" xfId="72" applyFont="1" applyFill="1" applyBorder="1" applyAlignment="1">
      <alignment horizontal="center"/>
      <protection/>
    </xf>
    <xf numFmtId="0" fontId="0" fillId="0" borderId="20" xfId="72" applyBorder="1">
      <alignment/>
      <protection/>
    </xf>
    <xf numFmtId="190" fontId="0" fillId="0" borderId="20" xfId="62" applyNumberFormat="1" applyBorder="1">
      <alignment/>
      <protection/>
    </xf>
    <xf numFmtId="0" fontId="0" fillId="0" borderId="20" xfId="72" applyBorder="1" applyAlignment="1">
      <alignment horizontal="center"/>
      <protection/>
    </xf>
    <xf numFmtId="0" fontId="0" fillId="0" borderId="20" xfId="72" applyBorder="1" applyAlignment="1">
      <alignment/>
      <protection/>
    </xf>
    <xf numFmtId="3" fontId="0" fillId="0" borderId="20" xfId="72" applyNumberFormat="1" applyBorder="1">
      <alignment/>
      <protection/>
    </xf>
    <xf numFmtId="3" fontId="0" fillId="58" borderId="20" xfId="72" applyNumberFormat="1" applyFont="1" applyFill="1" applyBorder="1" applyAlignment="1">
      <alignment horizontal="center"/>
      <protection/>
    </xf>
    <xf numFmtId="1" fontId="0" fillId="58" borderId="20" xfId="72" applyNumberFormat="1" applyFill="1" applyBorder="1" applyAlignment="1">
      <alignment horizontal="center"/>
      <protection/>
    </xf>
    <xf numFmtId="3" fontId="0" fillId="58" borderId="20" xfId="72" applyNumberFormat="1" applyFill="1" applyBorder="1">
      <alignment/>
      <protection/>
    </xf>
    <xf numFmtId="3" fontId="0" fillId="0" borderId="20" xfId="72" applyNumberFormat="1" applyFont="1" applyBorder="1" applyAlignment="1">
      <alignment horizontal="center"/>
      <protection/>
    </xf>
    <xf numFmtId="0" fontId="0" fillId="58" borderId="20" xfId="72" applyFill="1" applyBorder="1" applyAlignment="1">
      <alignment horizontal="center"/>
      <protection/>
    </xf>
    <xf numFmtId="190" fontId="0" fillId="0" borderId="20" xfId="72" applyNumberFormat="1" applyBorder="1" applyAlignment="1">
      <alignment/>
      <protection/>
    </xf>
    <xf numFmtId="3" fontId="0" fillId="0" borderId="20" xfId="72" applyNumberFormat="1" applyFill="1" applyBorder="1">
      <alignment/>
      <protection/>
    </xf>
    <xf numFmtId="3" fontId="0" fillId="0" borderId="20" xfId="72" applyNumberFormat="1" applyFont="1" applyFill="1" applyBorder="1" applyAlignment="1">
      <alignment horizontal="center"/>
      <protection/>
    </xf>
    <xf numFmtId="0" fontId="0" fillId="0" borderId="20" xfId="72" applyFont="1" applyBorder="1">
      <alignment/>
      <protection/>
    </xf>
    <xf numFmtId="3" fontId="13" fillId="0" borderId="20" xfId="72" applyNumberFormat="1" applyFont="1" applyBorder="1">
      <alignment/>
      <protection/>
    </xf>
    <xf numFmtId="0" fontId="13" fillId="0" borderId="20" xfId="72" applyFont="1" applyBorder="1">
      <alignment/>
      <protection/>
    </xf>
    <xf numFmtId="3" fontId="13" fillId="47" borderId="20" xfId="72" applyNumberFormat="1" applyFont="1" applyFill="1" applyBorder="1">
      <alignment/>
      <protection/>
    </xf>
    <xf numFmtId="3" fontId="13" fillId="0" borderId="20" xfId="72" applyNumberFormat="1" applyFont="1" applyBorder="1" applyAlignment="1">
      <alignment horizontal="center"/>
      <protection/>
    </xf>
    <xf numFmtId="10" fontId="0" fillId="0" borderId="108" xfId="72" applyNumberFormat="1" applyBorder="1" applyAlignment="1">
      <alignment horizontal="center"/>
      <protection/>
    </xf>
    <xf numFmtId="1" fontId="71" fillId="0" borderId="20" xfId="72" applyNumberFormat="1" applyFont="1" applyBorder="1" applyAlignment="1">
      <alignment horizontal="center"/>
      <protection/>
    </xf>
    <xf numFmtId="3" fontId="13" fillId="0" borderId="0" xfId="72" applyNumberFormat="1" applyFont="1">
      <alignment/>
      <protection/>
    </xf>
    <xf numFmtId="1" fontId="0" fillId="0" borderId="20" xfId="72" applyNumberFormat="1" applyBorder="1" applyAlignment="1">
      <alignment horizontal="center"/>
      <protection/>
    </xf>
    <xf numFmtId="3" fontId="0" fillId="0" borderId="20" xfId="72" applyNumberFormat="1" applyBorder="1" applyAlignment="1">
      <alignment horizontal="center"/>
      <protection/>
    </xf>
    <xf numFmtId="3" fontId="0" fillId="0" borderId="20" xfId="72" applyNumberFormat="1" applyFill="1" applyBorder="1" applyAlignment="1">
      <alignment horizontal="center"/>
      <protection/>
    </xf>
    <xf numFmtId="0" fontId="0" fillId="0" borderId="20" xfId="72" applyFill="1" applyBorder="1" applyAlignment="1">
      <alignment horizontal="center"/>
      <protection/>
    </xf>
    <xf numFmtId="0" fontId="13" fillId="0" borderId="0" xfId="0" applyFont="1" applyAlignment="1">
      <alignment/>
    </xf>
    <xf numFmtId="0" fontId="0" fillId="0" borderId="61" xfId="0" applyBorder="1" applyAlignment="1">
      <alignment/>
    </xf>
    <xf numFmtId="0" fontId="0" fillId="0" borderId="0" xfId="0" applyBorder="1" applyAlignment="1">
      <alignment/>
    </xf>
    <xf numFmtId="0" fontId="13" fillId="0" borderId="74" xfId="0" applyFont="1" applyBorder="1" applyAlignment="1">
      <alignment horizontal="center"/>
    </xf>
    <xf numFmtId="0" fontId="13" fillId="0" borderId="74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190" fontId="0" fillId="0" borderId="34" xfId="0" applyNumberFormat="1" applyBorder="1" applyAlignment="1">
      <alignment/>
    </xf>
    <xf numFmtId="190" fontId="0" fillId="0" borderId="34" xfId="62" applyNumberFormat="1" applyBorder="1">
      <alignment/>
      <protection/>
    </xf>
    <xf numFmtId="0" fontId="0" fillId="0" borderId="33" xfId="0" applyBorder="1" applyAlignment="1">
      <alignment horizontal="center"/>
    </xf>
    <xf numFmtId="190" fontId="0" fillId="0" borderId="33" xfId="0" applyNumberFormat="1" applyBorder="1" applyAlignment="1">
      <alignment/>
    </xf>
    <xf numFmtId="190" fontId="0" fillId="0" borderId="33" xfId="62" applyNumberFormat="1" applyBorder="1">
      <alignment/>
      <protection/>
    </xf>
    <xf numFmtId="0" fontId="0" fillId="0" borderId="74" xfId="0" applyBorder="1" applyAlignment="1">
      <alignment/>
    </xf>
    <xf numFmtId="0" fontId="13" fillId="0" borderId="106" xfId="0" applyFont="1" applyBorder="1" applyAlignment="1">
      <alignment/>
    </xf>
    <xf numFmtId="190" fontId="13" fillId="0" borderId="74" xfId="0" applyNumberFormat="1" applyFont="1" applyBorder="1" applyAlignment="1">
      <alignment/>
    </xf>
    <xf numFmtId="0" fontId="0" fillId="0" borderId="7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193" fontId="0" fillId="58" borderId="20" xfId="62" applyNumberFormat="1" applyFill="1" applyBorder="1" applyAlignment="1">
      <alignment horizontal="center"/>
      <protection/>
    </xf>
    <xf numFmtId="2" fontId="71" fillId="0" borderId="94" xfId="72" applyNumberFormat="1" applyFont="1" applyBorder="1" applyAlignment="1">
      <alignment horizontal="center"/>
      <protection/>
    </xf>
    <xf numFmtId="2" fontId="13" fillId="0" borderId="20" xfId="72" applyNumberFormat="1" applyFont="1" applyBorder="1">
      <alignment/>
      <protection/>
    </xf>
    <xf numFmtId="3" fontId="13" fillId="58" borderId="20" xfId="72" applyNumberFormat="1" applyFont="1" applyFill="1" applyBorder="1">
      <alignment/>
      <protection/>
    </xf>
    <xf numFmtId="2" fontId="13" fillId="58" borderId="20" xfId="72" applyNumberFormat="1" applyFont="1" applyFill="1" applyBorder="1" applyAlignment="1">
      <alignment horizontal="center"/>
      <protection/>
    </xf>
    <xf numFmtId="0" fontId="0" fillId="58" borderId="0" xfId="72" applyFill="1">
      <alignment/>
      <protection/>
    </xf>
    <xf numFmtId="0" fontId="0" fillId="58" borderId="20" xfId="72" applyFont="1" applyFill="1" applyBorder="1">
      <alignment/>
      <protection/>
    </xf>
    <xf numFmtId="0" fontId="13" fillId="58" borderId="20" xfId="72" applyFont="1" applyFill="1" applyBorder="1">
      <alignment/>
      <protection/>
    </xf>
    <xf numFmtId="3" fontId="0" fillId="47" borderId="47" xfId="72" applyNumberFormat="1" applyFill="1" applyBorder="1">
      <alignment/>
      <protection/>
    </xf>
    <xf numFmtId="3" fontId="13" fillId="47" borderId="47" xfId="72" applyNumberFormat="1" applyFont="1" applyFill="1" applyBorder="1">
      <alignment/>
      <protection/>
    </xf>
    <xf numFmtId="3" fontId="0" fillId="47" borderId="52" xfId="72" applyNumberFormat="1" applyFill="1" applyBorder="1">
      <alignment/>
      <protection/>
    </xf>
    <xf numFmtId="2" fontId="13" fillId="47" borderId="94" xfId="72" applyNumberFormat="1" applyFont="1" applyFill="1" applyBorder="1" applyAlignment="1">
      <alignment horizontal="center"/>
      <protection/>
    </xf>
    <xf numFmtId="10" fontId="13" fillId="47" borderId="20" xfId="72" applyNumberFormat="1" applyFont="1" applyFill="1" applyBorder="1" applyAlignment="1">
      <alignment horizontal="center"/>
      <protection/>
    </xf>
    <xf numFmtId="1" fontId="13" fillId="47" borderId="47" xfId="72" applyNumberFormat="1" applyFont="1" applyFill="1" applyBorder="1" applyAlignment="1">
      <alignment horizontal="center"/>
      <protection/>
    </xf>
    <xf numFmtId="3" fontId="0" fillId="47" borderId="73" xfId="72" applyNumberFormat="1" applyFill="1" applyBorder="1">
      <alignment/>
      <protection/>
    </xf>
    <xf numFmtId="3" fontId="13" fillId="47" borderId="74" xfId="72" applyNumberFormat="1" applyFont="1" applyFill="1" applyBorder="1">
      <alignment/>
      <protection/>
    </xf>
    <xf numFmtId="3" fontId="24" fillId="58" borderId="74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vertical="center"/>
      <protection/>
    </xf>
    <xf numFmtId="183" fontId="0" fillId="47" borderId="52" xfId="79" applyNumberFormat="1" applyFont="1" applyFill="1" applyBorder="1" applyAlignment="1" applyProtection="1">
      <alignment horizontal="center" vertical="center"/>
      <protection locked="0"/>
    </xf>
    <xf numFmtId="3" fontId="0" fillId="58" borderId="20" xfId="72" applyNumberFormat="1" applyFont="1" applyFill="1" applyBorder="1" applyAlignment="1">
      <alignment horizontal="center"/>
      <protection/>
    </xf>
    <xf numFmtId="0" fontId="0" fillId="47" borderId="51" xfId="0" applyFont="1" applyFill="1" applyBorder="1" applyAlignment="1" applyProtection="1">
      <alignment horizontal="left" vertical="center"/>
      <protection locked="0"/>
    </xf>
    <xf numFmtId="182" fontId="0" fillId="47" borderId="46" xfId="66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72" applyFont="1">
      <alignment/>
      <protection/>
    </xf>
    <xf numFmtId="192" fontId="0" fillId="47" borderId="26" xfId="66" applyNumberFormat="1" applyFont="1" applyFill="1" applyBorder="1" applyAlignment="1" applyProtection="1">
      <alignment vertical="center"/>
      <protection locked="0"/>
    </xf>
    <xf numFmtId="192" fontId="0" fillId="47" borderId="69" xfId="66" applyNumberFormat="1" applyFont="1" applyFill="1" applyBorder="1" applyAlignment="1" applyProtection="1">
      <alignment vertical="center"/>
      <protection locked="0"/>
    </xf>
    <xf numFmtId="192" fontId="0" fillId="47" borderId="93" xfId="66" applyNumberFormat="1" applyFont="1" applyFill="1" applyBorder="1" applyAlignment="1" applyProtection="1">
      <alignment vertical="center"/>
      <protection locked="0"/>
    </xf>
    <xf numFmtId="0" fontId="0" fillId="47" borderId="53" xfId="0" applyFont="1" applyFill="1" applyBorder="1" applyAlignment="1" applyProtection="1">
      <alignment horizontal="left" vertical="center"/>
      <protection locked="0"/>
    </xf>
    <xf numFmtId="0" fontId="0" fillId="47" borderId="46" xfId="0" applyFont="1" applyFill="1" applyBorder="1" applyAlignment="1" applyProtection="1">
      <alignment horizontal="left" vertical="center"/>
      <protection locked="0"/>
    </xf>
    <xf numFmtId="0" fontId="0" fillId="47" borderId="49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74" fillId="0" borderId="34" xfId="0" applyFont="1" applyFill="1" applyBorder="1" applyAlignment="1" applyProtection="1">
      <alignment horizontal="center"/>
      <protection locked="0"/>
    </xf>
    <xf numFmtId="3" fontId="74" fillId="58" borderId="34" xfId="0" applyNumberFormat="1" applyFont="1" applyFill="1" applyBorder="1" applyAlignment="1" applyProtection="1">
      <alignment/>
      <protection locked="0"/>
    </xf>
    <xf numFmtId="49" fontId="0" fillId="0" borderId="34" xfId="76" applyNumberFormat="1" applyFont="1" applyFill="1" applyBorder="1" applyAlignment="1" applyProtection="1">
      <alignment horizontal="center"/>
      <protection locked="0"/>
    </xf>
    <xf numFmtId="200" fontId="0" fillId="0" borderId="34" xfId="62" applyNumberFormat="1" applyFont="1" applyFill="1" applyBorder="1" applyProtection="1">
      <alignment/>
      <protection locked="0"/>
    </xf>
    <xf numFmtId="193" fontId="0" fillId="0" borderId="34" xfId="62" applyNumberFormat="1" applyFont="1" applyFill="1" applyBorder="1" applyAlignment="1" applyProtection="1">
      <alignment horizontal="center"/>
      <protection locked="0"/>
    </xf>
    <xf numFmtId="190" fontId="0" fillId="0" borderId="34" xfId="62" applyNumberFormat="1" applyBorder="1" applyProtection="1">
      <alignment/>
      <protection locked="0"/>
    </xf>
    <xf numFmtId="200" fontId="0" fillId="0" borderId="85" xfId="62" applyNumberFormat="1" applyFont="1" applyFill="1" applyBorder="1" applyProtection="1">
      <alignment/>
      <protection locked="0"/>
    </xf>
    <xf numFmtId="0" fontId="0" fillId="0" borderId="34" xfId="0" applyBorder="1" applyAlignment="1" applyProtection="1">
      <alignment horizontal="center"/>
      <protection locked="0"/>
    </xf>
    <xf numFmtId="0" fontId="74" fillId="0" borderId="33" xfId="0" applyFont="1" applyFill="1" applyBorder="1" applyAlignment="1" applyProtection="1">
      <alignment horizontal="center"/>
      <protection locked="0"/>
    </xf>
    <xf numFmtId="3" fontId="74" fillId="58" borderId="33" xfId="0" applyNumberFormat="1" applyFont="1" applyFill="1" applyBorder="1" applyAlignment="1" applyProtection="1">
      <alignment/>
      <protection locked="0"/>
    </xf>
    <xf numFmtId="49" fontId="0" fillId="0" borderId="33" xfId="76" applyNumberFormat="1" applyFont="1" applyFill="1" applyBorder="1" applyAlignment="1" applyProtection="1">
      <alignment horizontal="center"/>
      <protection locked="0"/>
    </xf>
    <xf numFmtId="200" fontId="0" fillId="0" borderId="33" xfId="62" applyNumberFormat="1" applyFont="1" applyFill="1" applyBorder="1" applyProtection="1">
      <alignment/>
      <protection locked="0"/>
    </xf>
    <xf numFmtId="193" fontId="0" fillId="0" borderId="33" xfId="62" applyNumberFormat="1" applyFont="1" applyFill="1" applyBorder="1" applyAlignment="1" applyProtection="1">
      <alignment horizontal="center"/>
      <protection locked="0"/>
    </xf>
    <xf numFmtId="200" fontId="0" fillId="0" borderId="70" xfId="62" applyNumberFormat="1" applyFont="1" applyFill="1" applyBorder="1" applyProtection="1">
      <alignment/>
      <protection locked="0"/>
    </xf>
    <xf numFmtId="190" fontId="0" fillId="0" borderId="33" xfId="62" applyNumberFormat="1" applyBorder="1" applyProtection="1">
      <alignment/>
      <protection locked="0"/>
    </xf>
    <xf numFmtId="200" fontId="0" fillId="0" borderId="87" xfId="62" applyNumberFormat="1" applyFont="1" applyFill="1" applyBorder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13" fillId="0" borderId="75" xfId="0" applyFont="1" applyBorder="1" applyAlignment="1" applyProtection="1">
      <alignment/>
      <protection locked="0"/>
    </xf>
    <xf numFmtId="0" fontId="24" fillId="0" borderId="76" xfId="0" applyFont="1" applyBorder="1" applyAlignment="1" applyProtection="1">
      <alignment vertical="center"/>
      <protection/>
    </xf>
    <xf numFmtId="0" fontId="23" fillId="0" borderId="76" xfId="0" applyFont="1" applyBorder="1" applyAlignment="1" applyProtection="1">
      <alignment vertical="center"/>
      <protection/>
    </xf>
    <xf numFmtId="0" fontId="13" fillId="0" borderId="106" xfId="0" applyFont="1" applyBorder="1" applyAlignment="1" applyProtection="1">
      <alignment/>
      <protection locked="0"/>
    </xf>
    <xf numFmtId="0" fontId="0" fillId="0" borderId="106" xfId="0" applyBorder="1" applyAlignment="1" applyProtection="1">
      <alignment/>
      <protection locked="0"/>
    </xf>
    <xf numFmtId="0" fontId="0" fillId="0" borderId="109" xfId="0" applyBorder="1" applyAlignment="1" applyProtection="1">
      <alignment/>
      <protection locked="0"/>
    </xf>
    <xf numFmtId="0" fontId="0" fillId="0" borderId="86" xfId="0" applyBorder="1" applyAlignment="1" applyProtection="1">
      <alignment/>
      <protection locked="0"/>
    </xf>
    <xf numFmtId="0" fontId="13" fillId="0" borderId="86" xfId="0" applyFont="1" applyBorder="1" applyAlignment="1" applyProtection="1">
      <alignment/>
      <protection locked="0"/>
    </xf>
    <xf numFmtId="0" fontId="71" fillId="0" borderId="87" xfId="0" applyFont="1" applyBorder="1" applyAlignment="1" applyProtection="1">
      <alignment/>
      <protection locked="0"/>
    </xf>
    <xf numFmtId="0" fontId="24" fillId="0" borderId="74" xfId="0" applyFont="1" applyBorder="1" applyAlignment="1" applyProtection="1">
      <alignment horizontal="center" vertical="center"/>
      <protection/>
    </xf>
    <xf numFmtId="3" fontId="24" fillId="0" borderId="35" xfId="0" applyNumberFormat="1" applyFont="1" applyBorder="1" applyAlignment="1" applyProtection="1">
      <alignment horizontal="right" vertical="center"/>
      <protection/>
    </xf>
    <xf numFmtId="3" fontId="23" fillId="0" borderId="35" xfId="0" applyNumberFormat="1" applyFont="1" applyBorder="1" applyAlignment="1" applyProtection="1">
      <alignment vertical="center"/>
      <protection/>
    </xf>
    <xf numFmtId="2" fontId="76" fillId="0" borderId="33" xfId="0" applyNumberFormat="1" applyFont="1" applyBorder="1" applyAlignment="1" applyProtection="1">
      <alignment vertical="center"/>
      <protection/>
    </xf>
    <xf numFmtId="0" fontId="24" fillId="0" borderId="105" xfId="0" applyFont="1" applyBorder="1" applyAlignment="1" applyProtection="1">
      <alignment vertical="center"/>
      <protection/>
    </xf>
    <xf numFmtId="0" fontId="23" fillId="0" borderId="105" xfId="0" applyFont="1" applyBorder="1" applyAlignment="1" applyProtection="1">
      <alignment vertical="center"/>
      <protection/>
    </xf>
    <xf numFmtId="0" fontId="24" fillId="0" borderId="74" xfId="0" applyFont="1" applyBorder="1" applyAlignment="1" applyProtection="1">
      <alignment horizontal="center" vertical="center" wrapText="1"/>
      <protection/>
    </xf>
    <xf numFmtId="0" fontId="23" fillId="0" borderId="74" xfId="0" applyFont="1" applyBorder="1" applyAlignment="1" applyProtection="1">
      <alignment horizontal="center" vertical="center" wrapText="1"/>
      <protection/>
    </xf>
    <xf numFmtId="0" fontId="23" fillId="0" borderId="35" xfId="0" applyFont="1" applyBorder="1" applyAlignment="1" applyProtection="1">
      <alignment vertical="center"/>
      <protection/>
    </xf>
    <xf numFmtId="3" fontId="23" fillId="0" borderId="35" xfId="0" applyNumberFormat="1" applyFont="1" applyBorder="1" applyAlignment="1" applyProtection="1">
      <alignment horizontal="center" vertical="center"/>
      <protection/>
    </xf>
    <xf numFmtId="3" fontId="23" fillId="0" borderId="33" xfId="0" applyNumberFormat="1" applyFont="1" applyBorder="1" applyAlignment="1" applyProtection="1">
      <alignment horizontal="right" vertical="center"/>
      <protection/>
    </xf>
    <xf numFmtId="0" fontId="23" fillId="0" borderId="100" xfId="0" applyFont="1" applyBorder="1" applyAlignment="1" applyProtection="1">
      <alignment vertical="center"/>
      <protection/>
    </xf>
    <xf numFmtId="0" fontId="23" fillId="0" borderId="69" xfId="0" applyFont="1" applyBorder="1" applyAlignment="1" applyProtection="1">
      <alignment vertical="center"/>
      <protection/>
    </xf>
    <xf numFmtId="3" fontId="23" fillId="0" borderId="69" xfId="0" applyNumberFormat="1" applyFont="1" applyBorder="1" applyAlignment="1" applyProtection="1">
      <alignment vertical="center"/>
      <protection/>
    </xf>
    <xf numFmtId="0" fontId="23" fillId="0" borderId="93" xfId="0" applyFont="1" applyBorder="1" applyAlignment="1" applyProtection="1">
      <alignment vertical="center"/>
      <protection/>
    </xf>
    <xf numFmtId="0" fontId="23" fillId="0" borderId="34" xfId="0" applyFont="1" applyBorder="1" applyAlignment="1" applyProtection="1">
      <alignment vertical="center"/>
      <protection/>
    </xf>
    <xf numFmtId="0" fontId="23" fillId="0" borderId="33" xfId="0" applyFont="1" applyBorder="1" applyAlignment="1" applyProtection="1">
      <alignment vertical="center"/>
      <protection/>
    </xf>
    <xf numFmtId="0" fontId="0" fillId="0" borderId="39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23" fillId="0" borderId="74" xfId="0" applyFont="1" applyBorder="1" applyAlignment="1" applyProtection="1">
      <alignment vertical="center"/>
      <protection/>
    </xf>
    <xf numFmtId="0" fontId="23" fillId="0" borderId="34" xfId="0" applyFont="1" applyBorder="1" applyAlignment="1" applyProtection="1">
      <alignment horizontal="center" vertical="center" wrapText="1"/>
      <protection/>
    </xf>
    <xf numFmtId="3" fontId="23" fillId="0" borderId="33" xfId="0" applyNumberFormat="1" applyFont="1" applyBorder="1" applyAlignment="1" applyProtection="1">
      <alignment vertical="center"/>
      <protection/>
    </xf>
    <xf numFmtId="3" fontId="23" fillId="0" borderId="34" xfId="0" applyNumberFormat="1" applyFont="1" applyBorder="1" applyAlignment="1" applyProtection="1">
      <alignment vertical="center"/>
      <protection/>
    </xf>
    <xf numFmtId="3" fontId="24" fillId="0" borderId="33" xfId="0" applyNumberFormat="1" applyFont="1" applyBorder="1" applyAlignment="1" applyProtection="1">
      <alignment horizontal="center" vertical="center"/>
      <protection/>
    </xf>
    <xf numFmtId="0" fontId="24" fillId="0" borderId="104" xfId="0" applyFont="1" applyBorder="1" applyAlignment="1" applyProtection="1">
      <alignment horizontal="center" vertical="center"/>
      <protection/>
    </xf>
    <xf numFmtId="0" fontId="76" fillId="0" borderId="32" xfId="0" applyFont="1" applyBorder="1" applyAlignment="1" applyProtection="1">
      <alignment horizontal="center" vertical="center"/>
      <protection/>
    </xf>
    <xf numFmtId="3" fontId="24" fillId="58" borderId="47" xfId="0" applyNumberFormat="1" applyFont="1" applyFill="1" applyBorder="1" applyAlignment="1" applyProtection="1">
      <alignment horizontal="center" vertical="center"/>
      <protection/>
    </xf>
    <xf numFmtId="3" fontId="23" fillId="0" borderId="85" xfId="0" applyNumberFormat="1" applyFont="1" applyBorder="1" applyAlignment="1" applyProtection="1">
      <alignment horizontal="center" vertical="center"/>
      <protection/>
    </xf>
    <xf numFmtId="2" fontId="76" fillId="47" borderId="87" xfId="0" applyNumberFormat="1" applyFont="1" applyFill="1" applyBorder="1" applyAlignment="1" applyProtection="1">
      <alignment horizontal="center" vertical="center"/>
      <protection/>
    </xf>
    <xf numFmtId="3" fontId="23" fillId="0" borderId="34" xfId="0" applyNumberFormat="1" applyFont="1" applyBorder="1" applyAlignment="1" applyProtection="1">
      <alignment horizontal="center" vertical="center"/>
      <protection/>
    </xf>
    <xf numFmtId="0" fontId="23" fillId="0" borderId="37" xfId="0" applyFont="1" applyBorder="1" applyAlignment="1" applyProtection="1">
      <alignment vertical="center"/>
      <protection/>
    </xf>
    <xf numFmtId="3" fontId="23" fillId="0" borderId="74" xfId="0" applyNumberFormat="1" applyFont="1" applyBorder="1" applyAlignment="1" applyProtection="1">
      <alignment horizontal="center" vertical="center"/>
      <protection/>
    </xf>
    <xf numFmtId="3" fontId="23" fillId="0" borderId="101" xfId="0" applyNumberFormat="1" applyFont="1" applyBorder="1" applyAlignment="1" applyProtection="1">
      <alignment vertical="center"/>
      <protection/>
    </xf>
    <xf numFmtId="3" fontId="23" fillId="0" borderId="101" xfId="0" applyNumberFormat="1" applyFont="1" applyBorder="1" applyAlignment="1" applyProtection="1">
      <alignment horizontal="center" vertical="center"/>
      <protection/>
    </xf>
    <xf numFmtId="0" fontId="13" fillId="0" borderId="85" xfId="0" applyFont="1" applyBorder="1" applyAlignment="1" applyProtection="1">
      <alignment/>
      <protection locked="0"/>
    </xf>
    <xf numFmtId="0" fontId="0" fillId="0" borderId="110" xfId="0" applyBorder="1" applyAlignment="1" applyProtection="1">
      <alignment/>
      <protection locked="0"/>
    </xf>
    <xf numFmtId="3" fontId="24" fillId="58" borderId="37" xfId="0" applyNumberFormat="1" applyFont="1" applyFill="1" applyBorder="1" applyAlignment="1" applyProtection="1">
      <alignment horizontal="center" vertical="center"/>
      <protection/>
    </xf>
    <xf numFmtId="2" fontId="76" fillId="47" borderId="33" xfId="0" applyNumberFormat="1" applyFont="1" applyFill="1" applyBorder="1" applyAlignment="1" applyProtection="1">
      <alignment horizontal="center" vertical="center"/>
      <protection/>
    </xf>
    <xf numFmtId="0" fontId="76" fillId="0" borderId="101" xfId="0" applyFont="1" applyBorder="1" applyAlignment="1" applyProtection="1">
      <alignment horizontal="center" vertical="center"/>
      <protection/>
    </xf>
    <xf numFmtId="0" fontId="23" fillId="0" borderId="101" xfId="0" applyFont="1" applyBorder="1" applyAlignment="1" applyProtection="1">
      <alignment horizontal="center" vertical="center" wrapText="1"/>
      <protection/>
    </xf>
    <xf numFmtId="0" fontId="23" fillId="0" borderId="74" xfId="0" applyFont="1" applyBorder="1" applyAlignment="1" applyProtection="1">
      <alignment vertical="center" wrapText="1"/>
      <protection/>
    </xf>
    <xf numFmtId="3" fontId="24" fillId="0" borderId="33" xfId="0" applyNumberFormat="1" applyFont="1" applyBorder="1" applyAlignment="1" applyProtection="1">
      <alignment horizontal="right" vertical="center"/>
      <protection/>
    </xf>
    <xf numFmtId="191" fontId="0" fillId="45" borderId="85" xfId="0" applyNumberFormat="1" applyFont="1" applyFill="1" applyBorder="1" applyAlignment="1" applyProtection="1">
      <alignment horizontal="right" vertical="center"/>
      <protection/>
    </xf>
    <xf numFmtId="191" fontId="0" fillId="45" borderId="86" xfId="0" applyNumberFormat="1" applyFont="1" applyFill="1" applyBorder="1" applyAlignment="1" applyProtection="1">
      <alignment horizontal="right" vertical="center"/>
      <protection/>
    </xf>
    <xf numFmtId="192" fontId="0" fillId="47" borderId="99" xfId="66" applyNumberFormat="1" applyFont="1" applyFill="1" applyBorder="1" applyAlignment="1" applyProtection="1">
      <alignment vertical="center"/>
      <protection locked="0"/>
    </xf>
    <xf numFmtId="192" fontId="0" fillId="47" borderId="68" xfId="66" applyNumberFormat="1" applyFont="1" applyFill="1" applyBorder="1" applyAlignment="1" applyProtection="1">
      <alignment vertical="center"/>
      <protection locked="0"/>
    </xf>
    <xf numFmtId="192" fontId="0" fillId="47" borderId="69" xfId="66" applyNumberFormat="1" applyFill="1" applyBorder="1" applyAlignment="1" applyProtection="1">
      <alignment vertical="center"/>
      <protection locked="0"/>
    </xf>
    <xf numFmtId="191" fontId="0" fillId="45" borderId="87" xfId="0" applyNumberFormat="1" applyFont="1" applyFill="1" applyBorder="1" applyAlignment="1" applyProtection="1">
      <alignment horizontal="right" vertical="center"/>
      <protection/>
    </xf>
    <xf numFmtId="191" fontId="0" fillId="45" borderId="53" xfId="0" applyNumberFormat="1" applyFont="1" applyFill="1" applyBorder="1" applyAlignment="1" applyProtection="1">
      <alignment horizontal="right" vertical="center"/>
      <protection/>
    </xf>
    <xf numFmtId="191" fontId="0" fillId="45" borderId="46" xfId="0" applyNumberFormat="1" applyFont="1" applyFill="1" applyBorder="1" applyAlignment="1" applyProtection="1">
      <alignment horizontal="right" vertical="center"/>
      <protection/>
    </xf>
    <xf numFmtId="192" fontId="0" fillId="47" borderId="48" xfId="66" applyNumberFormat="1" applyFont="1" applyFill="1" applyBorder="1" applyAlignment="1" applyProtection="1">
      <alignment vertical="center"/>
      <protection locked="0"/>
    </xf>
    <xf numFmtId="191" fontId="0" fillId="45" borderId="49" xfId="0" applyNumberFormat="1" applyFont="1" applyFill="1" applyBorder="1" applyAlignment="1" applyProtection="1">
      <alignment horizontal="right" vertical="center"/>
      <protection/>
    </xf>
    <xf numFmtId="0" fontId="72" fillId="0" borderId="0" xfId="0" applyFont="1" applyFill="1" applyBorder="1" applyAlignment="1" applyProtection="1">
      <alignment/>
      <protection/>
    </xf>
    <xf numFmtId="0" fontId="72" fillId="47" borderId="44" xfId="0" applyFont="1" applyFill="1" applyBorder="1" applyAlignment="1" applyProtection="1">
      <alignment horizontal="left" vertical="center"/>
      <protection locked="0"/>
    </xf>
    <xf numFmtId="0" fontId="72" fillId="47" borderId="20" xfId="0" applyFont="1" applyFill="1" applyBorder="1" applyAlignment="1" applyProtection="1">
      <alignment horizontal="left" vertical="center"/>
      <protection locked="0"/>
    </xf>
    <xf numFmtId="0" fontId="72" fillId="47" borderId="46" xfId="0" applyFont="1" applyFill="1" applyBorder="1" applyAlignment="1" applyProtection="1">
      <alignment horizontal="left" vertical="center"/>
      <protection locked="0"/>
    </xf>
    <xf numFmtId="192" fontId="72" fillId="47" borderId="44" xfId="66" applyNumberFormat="1" applyFont="1" applyFill="1" applyBorder="1" applyAlignment="1" applyProtection="1">
      <alignment vertical="center"/>
      <protection locked="0"/>
    </xf>
    <xf numFmtId="0" fontId="72" fillId="41" borderId="0" xfId="0" applyFont="1" applyFill="1" applyAlignment="1" applyProtection="1">
      <alignment/>
      <protection/>
    </xf>
    <xf numFmtId="182" fontId="71" fillId="40" borderId="0" xfId="66" applyNumberFormat="1" applyFont="1" applyFill="1" applyBorder="1" applyAlignment="1" applyProtection="1">
      <alignment vertical="center"/>
      <protection/>
    </xf>
    <xf numFmtId="0" fontId="72" fillId="0" borderId="0" xfId="0" applyFont="1" applyAlignment="1" applyProtection="1">
      <alignment/>
      <protection locked="0"/>
    </xf>
    <xf numFmtId="0" fontId="23" fillId="0" borderId="111" xfId="0" applyFont="1" applyBorder="1" applyAlignment="1" applyProtection="1">
      <alignment vertical="center"/>
      <protection/>
    </xf>
    <xf numFmtId="0" fontId="23" fillId="0" borderId="112" xfId="0" applyFont="1" applyBorder="1" applyAlignment="1" applyProtection="1">
      <alignment vertical="center"/>
      <protection/>
    </xf>
    <xf numFmtId="0" fontId="76" fillId="0" borderId="36" xfId="0" applyFont="1" applyBorder="1" applyAlignment="1" applyProtection="1">
      <alignment horizontal="center" vertical="center"/>
      <protection/>
    </xf>
    <xf numFmtId="3" fontId="23" fillId="0" borderId="20" xfId="0" applyNumberFormat="1" applyFont="1" applyBorder="1" applyAlignment="1" applyProtection="1">
      <alignment horizontal="right" vertical="center"/>
      <protection/>
    </xf>
    <xf numFmtId="0" fontId="72" fillId="0" borderId="0" xfId="0" applyFont="1" applyAlignment="1" applyProtection="1">
      <alignment vertical="center"/>
      <protection/>
    </xf>
    <xf numFmtId="0" fontId="71" fillId="0" borderId="0" xfId="0" applyFont="1" applyBorder="1" applyAlignment="1" applyProtection="1">
      <alignment horizontal="center" vertical="center"/>
      <protection/>
    </xf>
    <xf numFmtId="0" fontId="72" fillId="0" borderId="0" xfId="0" applyFont="1" applyAlignment="1" applyProtection="1">
      <alignment/>
      <protection/>
    </xf>
    <xf numFmtId="0" fontId="72" fillId="0" borderId="0" xfId="0" applyFont="1" applyAlignment="1">
      <alignment vertical="center"/>
    </xf>
    <xf numFmtId="0" fontId="72" fillId="0" borderId="0" xfId="0" applyFont="1" applyFill="1" applyAlignment="1" applyProtection="1">
      <alignment vertical="center"/>
      <protection/>
    </xf>
    <xf numFmtId="0" fontId="72" fillId="0" borderId="0" xfId="0" applyFont="1" applyBorder="1" applyAlignment="1" applyProtection="1">
      <alignment/>
      <protection/>
    </xf>
    <xf numFmtId="42" fontId="72" fillId="0" borderId="0" xfId="0" applyNumberFormat="1" applyFont="1" applyAlignment="1" applyProtection="1">
      <alignment vertical="center"/>
      <protection/>
    </xf>
    <xf numFmtId="0" fontId="72" fillId="47" borderId="73" xfId="0" applyFont="1" applyFill="1" applyBorder="1" applyAlignment="1" applyProtection="1">
      <alignment horizontal="left" vertical="center"/>
      <protection locked="0"/>
    </xf>
    <xf numFmtId="0" fontId="72" fillId="47" borderId="94" xfId="0" applyFont="1" applyFill="1" applyBorder="1" applyAlignment="1" applyProtection="1">
      <alignment horizontal="left" vertical="center"/>
      <protection locked="0"/>
    </xf>
    <xf numFmtId="0" fontId="72" fillId="47" borderId="94" xfId="0" applyFont="1" applyFill="1" applyBorder="1" applyAlignment="1" applyProtection="1">
      <alignment/>
      <protection locked="0"/>
    </xf>
    <xf numFmtId="0" fontId="72" fillId="47" borderId="95" xfId="0" applyFont="1" applyFill="1" applyBorder="1" applyAlignment="1" applyProtection="1">
      <alignment/>
      <protection locked="0"/>
    </xf>
    <xf numFmtId="42" fontId="72" fillId="47" borderId="94" xfId="67" applyFont="1" applyFill="1" applyBorder="1" applyAlignment="1" applyProtection="1">
      <alignment horizontal="left" vertical="center"/>
      <protection locked="0"/>
    </xf>
    <xf numFmtId="190" fontId="0" fillId="0" borderId="34" xfId="62" applyNumberFormat="1" applyFont="1" applyBorder="1" applyAlignment="1" applyProtection="1">
      <alignment horizontal="left"/>
      <protection locked="0"/>
    </xf>
    <xf numFmtId="190" fontId="0" fillId="0" borderId="35" xfId="62" applyNumberFormat="1" applyFont="1" applyBorder="1" applyAlignment="1" applyProtection="1">
      <alignment horizontal="left"/>
      <protection locked="0"/>
    </xf>
    <xf numFmtId="190" fontId="0" fillId="0" borderId="33" xfId="62" applyNumberFormat="1" applyFont="1" applyBorder="1" applyAlignment="1" applyProtection="1">
      <alignment horizontal="left"/>
      <protection locked="0"/>
    </xf>
    <xf numFmtId="0" fontId="72" fillId="41" borderId="0" xfId="0" applyFont="1" applyFill="1" applyBorder="1" applyAlignment="1" applyProtection="1">
      <alignment/>
      <protection/>
    </xf>
    <xf numFmtId="192" fontId="72" fillId="47" borderId="35" xfId="66" applyNumberFormat="1" applyFont="1" applyFill="1" applyBorder="1" applyAlignment="1" applyProtection="1">
      <alignment vertical="center"/>
      <protection locked="0"/>
    </xf>
    <xf numFmtId="0" fontId="72" fillId="47" borderId="47" xfId="0" applyFont="1" applyFill="1" applyBorder="1" applyAlignment="1" applyProtection="1">
      <alignment horizontal="left" vertical="center"/>
      <protection locked="0"/>
    </xf>
    <xf numFmtId="0" fontId="72" fillId="47" borderId="78" xfId="0" applyFont="1" applyFill="1" applyBorder="1" applyAlignment="1" applyProtection="1">
      <alignment horizontal="left" vertical="center"/>
      <protection locked="0"/>
    </xf>
    <xf numFmtId="192" fontId="0" fillId="47" borderId="100" xfId="66" applyNumberFormat="1" applyFont="1" applyFill="1" applyBorder="1" applyAlignment="1" applyProtection="1">
      <alignment vertical="center"/>
      <protection locked="0"/>
    </xf>
    <xf numFmtId="192" fontId="0" fillId="47" borderId="44" xfId="66" applyNumberFormat="1" applyFont="1" applyFill="1" applyBorder="1" applyAlignment="1" applyProtection="1">
      <alignment vertical="center"/>
      <protection locked="0"/>
    </xf>
    <xf numFmtId="192" fontId="0" fillId="47" borderId="20" xfId="66" applyNumberFormat="1" applyFont="1" applyFill="1" applyBorder="1" applyAlignment="1" applyProtection="1">
      <alignment vertical="center"/>
      <protection locked="0"/>
    </xf>
    <xf numFmtId="192" fontId="72" fillId="47" borderId="52" xfId="66" applyNumberFormat="1" applyFont="1" applyFill="1" applyBorder="1" applyAlignment="1" applyProtection="1">
      <alignment vertical="center"/>
      <protection locked="0"/>
    </xf>
    <xf numFmtId="192" fontId="0" fillId="47" borderId="94" xfId="66" applyNumberFormat="1" applyFont="1" applyFill="1" applyBorder="1" applyAlignment="1" applyProtection="1">
      <alignment vertical="center"/>
      <protection locked="0"/>
    </xf>
    <xf numFmtId="191" fontId="0" fillId="45" borderId="37" xfId="0" applyNumberFormat="1" applyFont="1" applyFill="1" applyBorder="1" applyAlignment="1" applyProtection="1">
      <alignment horizontal="right" vertical="center"/>
      <protection/>
    </xf>
    <xf numFmtId="191" fontId="0" fillId="0" borderId="37" xfId="0" applyNumberFormat="1" applyFont="1" applyFill="1" applyBorder="1" applyAlignment="1" applyProtection="1">
      <alignment horizontal="right" vertical="center"/>
      <protection/>
    </xf>
    <xf numFmtId="205" fontId="0" fillId="41" borderId="0" xfId="0" applyNumberFormat="1" applyFont="1" applyFill="1" applyBorder="1" applyAlignment="1" applyProtection="1">
      <alignment/>
      <protection/>
    </xf>
    <xf numFmtId="0" fontId="0" fillId="47" borderId="85" xfId="0" applyFont="1" applyFill="1" applyBorder="1" applyAlignment="1" applyProtection="1">
      <alignment horizontal="left" vertical="center"/>
      <protection locked="0"/>
    </xf>
    <xf numFmtId="0" fontId="0" fillId="47" borderId="86" xfId="0" applyFont="1" applyFill="1" applyBorder="1" applyAlignment="1" applyProtection="1">
      <alignment horizontal="left" vertical="center"/>
      <protection locked="0"/>
    </xf>
    <xf numFmtId="0" fontId="72" fillId="47" borderId="86" xfId="0" applyFont="1" applyFill="1" applyBorder="1" applyAlignment="1" applyProtection="1">
      <alignment horizontal="left" vertical="center"/>
      <protection locked="0"/>
    </xf>
    <xf numFmtId="0" fontId="0" fillId="47" borderId="87" xfId="0" applyFont="1" applyFill="1" applyBorder="1" applyAlignment="1" applyProtection="1">
      <alignment horizontal="left" vertical="center"/>
      <protection locked="0"/>
    </xf>
    <xf numFmtId="190" fontId="72" fillId="47" borderId="20" xfId="62" applyNumberFormat="1" applyFont="1" applyFill="1" applyBorder="1" applyAlignment="1" applyProtection="1">
      <alignment vertical="center"/>
      <protection locked="0"/>
    </xf>
    <xf numFmtId="193" fontId="72" fillId="47" borderId="39" xfId="66" applyNumberFormat="1" applyFont="1" applyFill="1" applyBorder="1" applyAlignment="1" applyProtection="1">
      <alignment horizontal="center" vertical="center"/>
      <protection locked="0"/>
    </xf>
    <xf numFmtId="193" fontId="72" fillId="47" borderId="44" xfId="66" applyNumberFormat="1" applyFont="1" applyFill="1" applyBorder="1" applyAlignment="1" applyProtection="1">
      <alignment horizontal="center" vertical="center"/>
      <protection locked="0"/>
    </xf>
    <xf numFmtId="0" fontId="72" fillId="0" borderId="0" xfId="0" applyFont="1" applyAlignment="1" applyProtection="1">
      <alignment horizontal="left" vertical="center"/>
      <protection/>
    </xf>
    <xf numFmtId="182" fontId="72" fillId="47" borderId="20" xfId="66" applyNumberFormat="1" applyFont="1" applyFill="1" applyBorder="1" applyAlignment="1" applyProtection="1">
      <alignment vertical="center"/>
      <protection locked="0"/>
    </xf>
    <xf numFmtId="190" fontId="72" fillId="47" borderId="20" xfId="62" applyNumberFormat="1" applyFont="1" applyFill="1" applyBorder="1" applyProtection="1">
      <alignment/>
      <protection locked="0"/>
    </xf>
    <xf numFmtId="3" fontId="77" fillId="0" borderId="42" xfId="0" applyNumberFormat="1" applyFont="1" applyBorder="1" applyAlignment="1" applyProtection="1">
      <alignment horizontal="center" vertical="center"/>
      <protection/>
    </xf>
    <xf numFmtId="3" fontId="77" fillId="0" borderId="33" xfId="0" applyNumberFormat="1" applyFont="1" applyBorder="1" applyAlignment="1" applyProtection="1">
      <alignment horizontal="center" vertical="center"/>
      <protection/>
    </xf>
    <xf numFmtId="192" fontId="0" fillId="45" borderId="39" xfId="66" applyNumberFormat="1" applyFill="1" applyBorder="1" applyAlignment="1" applyProtection="1">
      <alignment vertical="center"/>
      <protection/>
    </xf>
    <xf numFmtId="192" fontId="0" fillId="45" borderId="77" xfId="66" applyNumberFormat="1" applyFill="1" applyBorder="1" applyAlignment="1" applyProtection="1">
      <alignment vertical="center"/>
      <protection/>
    </xf>
    <xf numFmtId="192" fontId="0" fillId="45" borderId="53" xfId="66" applyNumberFormat="1" applyFill="1" applyBorder="1" applyAlignment="1" applyProtection="1">
      <alignment vertical="center"/>
      <protection/>
    </xf>
    <xf numFmtId="192" fontId="0" fillId="45" borderId="44" xfId="66" applyNumberFormat="1" applyFill="1" applyBorder="1" applyAlignment="1" applyProtection="1">
      <alignment vertical="center"/>
      <protection/>
    </xf>
    <xf numFmtId="192" fontId="0" fillId="8" borderId="49" xfId="66" applyNumberFormat="1" applyFont="1" applyFill="1" applyBorder="1" applyAlignment="1" applyProtection="1">
      <alignment vertical="center"/>
      <protection/>
    </xf>
    <xf numFmtId="190" fontId="0" fillId="0" borderId="0" xfId="62" applyNumberFormat="1" applyProtection="1">
      <alignment/>
      <protection/>
    </xf>
    <xf numFmtId="0" fontId="13" fillId="51" borderId="113" xfId="0" applyFont="1" applyFill="1" applyBorder="1" applyAlignment="1" applyProtection="1">
      <alignment horizontal="center" vertical="center"/>
      <protection/>
    </xf>
    <xf numFmtId="0" fontId="11" fillId="49" borderId="114" xfId="0" applyFont="1" applyFill="1" applyBorder="1" applyAlignment="1" applyProtection="1">
      <alignment horizontal="left" vertical="center"/>
      <protection/>
    </xf>
    <xf numFmtId="182" fontId="11" fillId="49" borderId="77" xfId="66" applyNumberFormat="1" applyFont="1" applyFill="1" applyBorder="1" applyAlignment="1" applyProtection="1">
      <alignment horizontal="center" vertical="center"/>
      <protection/>
    </xf>
    <xf numFmtId="182" fontId="11" fillId="69" borderId="77" xfId="66" applyNumberFormat="1" applyFont="1" applyFill="1" applyBorder="1" applyAlignment="1" applyProtection="1">
      <alignment vertical="center"/>
      <protection/>
    </xf>
    <xf numFmtId="182" fontId="13" fillId="15" borderId="77" xfId="66" applyNumberFormat="1" applyFont="1" applyFill="1" applyBorder="1" applyAlignment="1" applyProtection="1">
      <alignment vertical="center"/>
      <protection/>
    </xf>
    <xf numFmtId="182" fontId="11" fillId="49" borderId="91" xfId="66" applyNumberFormat="1" applyFont="1" applyFill="1" applyBorder="1" applyAlignment="1" applyProtection="1">
      <alignment horizontal="center" vertical="center"/>
      <protection/>
    </xf>
    <xf numFmtId="0" fontId="13" fillId="50" borderId="115" xfId="0" applyFont="1" applyFill="1" applyBorder="1" applyAlignment="1" applyProtection="1">
      <alignment horizontal="center" vertical="center" wrapText="1"/>
      <protection/>
    </xf>
    <xf numFmtId="0" fontId="11" fillId="50" borderId="11" xfId="0" applyFont="1" applyFill="1" applyBorder="1" applyAlignment="1" applyProtection="1">
      <alignment horizontal="left" vertical="center"/>
      <protection/>
    </xf>
    <xf numFmtId="182" fontId="11" fillId="70" borderId="20" xfId="66" applyNumberFormat="1" applyFont="1" applyFill="1" applyBorder="1" applyAlignment="1" applyProtection="1">
      <alignment vertical="center"/>
      <protection/>
    </xf>
    <xf numFmtId="182" fontId="13" fillId="3" borderId="20" xfId="66" applyNumberFormat="1" applyFont="1" applyFill="1" applyBorder="1" applyAlignment="1" applyProtection="1">
      <alignment vertical="center"/>
      <protection/>
    </xf>
    <xf numFmtId="182" fontId="11" fillId="50" borderId="116" xfId="66" applyNumberFormat="1" applyFont="1" applyFill="1" applyBorder="1" applyAlignment="1" applyProtection="1">
      <alignment horizontal="center" vertical="center"/>
      <protection/>
    </xf>
    <xf numFmtId="1" fontId="0" fillId="0" borderId="115" xfId="0" applyNumberFormat="1" applyBorder="1" applyAlignment="1" applyProtection="1">
      <alignment horizontal="center" vertical="center" wrapText="1"/>
      <protection/>
    </xf>
    <xf numFmtId="189" fontId="16" fillId="0" borderId="11" xfId="0" applyNumberFormat="1" applyFont="1" applyBorder="1" applyAlignment="1" applyProtection="1">
      <alignment horizontal="left"/>
      <protection/>
    </xf>
    <xf numFmtId="182" fontId="0" fillId="8" borderId="20" xfId="66" applyNumberFormat="1" applyFont="1" applyFill="1" applyBorder="1" applyAlignment="1" applyProtection="1">
      <alignment vertical="center"/>
      <protection/>
    </xf>
    <xf numFmtId="182" fontId="16" fillId="1" borderId="20" xfId="66" applyNumberFormat="1" applyFont="1" applyFill="1" applyBorder="1" applyAlignment="1" applyProtection="1">
      <alignment vertical="center"/>
      <protection/>
    </xf>
    <xf numFmtId="190" fontId="16" fillId="1" borderId="20" xfId="62" applyNumberFormat="1" applyFont="1" applyFill="1" applyBorder="1" applyAlignment="1" applyProtection="1">
      <alignment vertical="center"/>
      <protection/>
    </xf>
    <xf numFmtId="182" fontId="16" fillId="45" borderId="20" xfId="66" applyNumberFormat="1" applyFont="1" applyFill="1" applyBorder="1" applyAlignment="1" applyProtection="1">
      <alignment vertical="center"/>
      <protection/>
    </xf>
    <xf numFmtId="182" fontId="11" fillId="57" borderId="92" xfId="66" applyNumberFormat="1" applyFont="1" applyFill="1" applyBorder="1" applyAlignment="1" applyProtection="1">
      <alignment vertical="center"/>
      <protection/>
    </xf>
    <xf numFmtId="1" fontId="0" fillId="0" borderId="117" xfId="0" applyNumberFormat="1" applyBorder="1" applyAlignment="1" applyProtection="1">
      <alignment horizontal="center"/>
      <protection/>
    </xf>
    <xf numFmtId="1" fontId="0" fillId="0" borderId="118" xfId="0" applyNumberFormat="1" applyBorder="1" applyAlignment="1" applyProtection="1">
      <alignment/>
      <protection/>
    </xf>
    <xf numFmtId="189" fontId="74" fillId="0" borderId="11" xfId="0" applyNumberFormat="1" applyFont="1" applyBorder="1" applyAlignment="1" applyProtection="1">
      <alignment horizontal="left"/>
      <protection/>
    </xf>
    <xf numFmtId="0" fontId="13" fillId="51" borderId="15" xfId="0" applyFont="1" applyFill="1" applyBorder="1" applyAlignment="1" applyProtection="1">
      <alignment horizontal="center" vertical="center"/>
      <protection/>
    </xf>
    <xf numFmtId="0" fontId="11" fillId="49" borderId="11" xfId="0" applyFont="1" applyFill="1" applyBorder="1" applyAlignment="1" applyProtection="1">
      <alignment horizontal="left" vertical="center"/>
      <protection/>
    </xf>
    <xf numFmtId="182" fontId="11" fillId="15" borderId="20" xfId="66" applyNumberFormat="1" applyFont="1" applyFill="1" applyBorder="1" applyAlignment="1" applyProtection="1">
      <alignment vertical="center"/>
      <protection/>
    </xf>
    <xf numFmtId="182" fontId="11" fillId="49" borderId="46" xfId="66" applyNumberFormat="1" applyFont="1" applyFill="1" applyBorder="1" applyAlignment="1" applyProtection="1">
      <alignment horizontal="center" vertical="center"/>
      <protection/>
    </xf>
    <xf numFmtId="182" fontId="11" fillId="3" borderId="20" xfId="66" applyNumberFormat="1" applyFont="1" applyFill="1" applyBorder="1" applyAlignment="1" applyProtection="1">
      <alignment vertical="center"/>
      <protection/>
    </xf>
    <xf numFmtId="182" fontId="11" fillId="50" borderId="20" xfId="66" applyNumberFormat="1" applyFont="1" applyFill="1" applyBorder="1" applyAlignment="1" applyProtection="1">
      <alignment vertical="center"/>
      <protection/>
    </xf>
    <xf numFmtId="182" fontId="11" fillId="50" borderId="92" xfId="66" applyNumberFormat="1" applyFont="1" applyFill="1" applyBorder="1" applyAlignment="1" applyProtection="1">
      <alignment vertical="center"/>
      <protection/>
    </xf>
    <xf numFmtId="41" fontId="11" fillId="3" borderId="20" xfId="63" applyFont="1" applyFill="1" applyBorder="1" applyAlignment="1" applyProtection="1">
      <alignment vertical="center"/>
      <protection/>
    </xf>
    <xf numFmtId="1" fontId="0" fillId="58" borderId="115" xfId="0" applyNumberFormat="1" applyFill="1" applyBorder="1" applyAlignment="1" applyProtection="1">
      <alignment horizontal="center" vertical="center" wrapText="1"/>
      <protection/>
    </xf>
    <xf numFmtId="1" fontId="0" fillId="0" borderId="13" xfId="0" applyNumberFormat="1" applyBorder="1" applyAlignment="1" applyProtection="1">
      <alignment horizontal="center" vertical="center" wrapText="1"/>
      <protection/>
    </xf>
    <xf numFmtId="189" fontId="16" fillId="0" borderId="88" xfId="0" applyNumberFormat="1" applyFont="1" applyBorder="1" applyAlignment="1" applyProtection="1">
      <alignment horizontal="left"/>
      <protection/>
    </xf>
    <xf numFmtId="182" fontId="11" fillId="57" borderId="119" xfId="66" applyNumberFormat="1" applyFont="1" applyFill="1" applyBorder="1" applyAlignment="1" applyProtection="1">
      <alignment vertical="center"/>
      <protection/>
    </xf>
    <xf numFmtId="182" fontId="71" fillId="58" borderId="52" xfId="66" applyNumberFormat="1" applyFont="1" applyFill="1" applyBorder="1" applyAlignment="1" applyProtection="1">
      <alignment horizontal="center" vertical="center"/>
      <protection/>
    </xf>
    <xf numFmtId="182" fontId="72" fillId="71" borderId="20" xfId="66" applyNumberFormat="1" applyFont="1" applyFill="1" applyBorder="1" applyAlignment="1" applyProtection="1">
      <alignment vertical="center"/>
      <protection/>
    </xf>
    <xf numFmtId="0" fontId="13" fillId="52" borderId="120" xfId="0" applyFont="1" applyFill="1" applyBorder="1" applyAlignment="1" applyProtection="1">
      <alignment horizontal="center" vertical="center" wrapText="1"/>
      <protection/>
    </xf>
    <xf numFmtId="0" fontId="13" fillId="53" borderId="121" xfId="0" applyFont="1" applyFill="1" applyBorder="1" applyAlignment="1" applyProtection="1">
      <alignment vertical="center"/>
      <protection/>
    </xf>
    <xf numFmtId="181" fontId="13" fillId="53" borderId="71" xfId="66" applyNumberFormat="1" applyFont="1" applyFill="1" applyBorder="1" applyAlignment="1" applyProtection="1">
      <alignment vertical="center"/>
      <protection/>
    </xf>
    <xf numFmtId="181" fontId="13" fillId="72" borderId="71" xfId="66" applyNumberFormat="1" applyFont="1" applyFill="1" applyBorder="1" applyAlignment="1" applyProtection="1">
      <alignment vertical="center"/>
      <protection/>
    </xf>
    <xf numFmtId="181" fontId="13" fillId="53" borderId="122" xfId="66" applyNumberFormat="1" applyFont="1" applyFill="1" applyBorder="1" applyAlignment="1" applyProtection="1">
      <alignment vertical="center"/>
      <protection/>
    </xf>
    <xf numFmtId="0" fontId="71" fillId="58" borderId="52" xfId="0" applyFont="1" applyFill="1" applyBorder="1" applyAlignment="1" applyProtection="1">
      <alignment horizontal="center" vertical="center"/>
      <protection/>
    </xf>
    <xf numFmtId="195" fontId="72" fillId="47" borderId="20" xfId="66" applyNumberFormat="1" applyFont="1" applyFill="1" applyBorder="1" applyProtection="1">
      <alignment/>
      <protection/>
    </xf>
    <xf numFmtId="182" fontId="11" fillId="73" borderId="77" xfId="66" applyNumberFormat="1" applyFont="1" applyFill="1" applyBorder="1" applyAlignment="1" applyProtection="1">
      <alignment vertical="center"/>
      <protection/>
    </xf>
    <xf numFmtId="182" fontId="11" fillId="74" borderId="20" xfId="66" applyNumberFormat="1" applyFont="1" applyFill="1" applyBorder="1" applyAlignment="1" applyProtection="1">
      <alignment vertical="center"/>
      <protection/>
    </xf>
    <xf numFmtId="190" fontId="16" fillId="45" borderId="20" xfId="62" applyNumberFormat="1" applyFont="1" applyFill="1" applyBorder="1" applyAlignment="1" applyProtection="1">
      <alignment vertical="center"/>
      <protection/>
    </xf>
    <xf numFmtId="195" fontId="0" fillId="14" borderId="20" xfId="66" applyNumberFormat="1" applyFill="1" applyBorder="1" applyAlignment="1" applyProtection="1">
      <alignment vertical="center"/>
      <protection/>
    </xf>
    <xf numFmtId="195" fontId="0" fillId="14" borderId="20" xfId="66" applyNumberFormat="1" applyFill="1" applyBorder="1" applyProtection="1">
      <alignment/>
      <protection/>
    </xf>
    <xf numFmtId="190" fontId="0" fillId="45" borderId="20" xfId="62" applyNumberFormat="1" applyFont="1" applyFill="1" applyBorder="1" applyProtection="1">
      <alignment/>
      <protection/>
    </xf>
    <xf numFmtId="195" fontId="72" fillId="14" borderId="20" xfId="66" applyNumberFormat="1" applyFont="1" applyFill="1" applyBorder="1" applyAlignment="1" applyProtection="1">
      <alignment vertical="center"/>
      <protection/>
    </xf>
    <xf numFmtId="195" fontId="72" fillId="14" borderId="20" xfId="66" applyNumberFormat="1" applyFont="1" applyFill="1" applyBorder="1" applyProtection="1">
      <alignment/>
      <protection/>
    </xf>
    <xf numFmtId="182" fontId="11" fillId="49" borderId="69" xfId="66" applyNumberFormat="1" applyFont="1" applyFill="1" applyBorder="1" applyAlignment="1" applyProtection="1">
      <alignment horizontal="center" vertical="center"/>
      <protection/>
    </xf>
    <xf numFmtId="182" fontId="11" fillId="49" borderId="52" xfId="66" applyNumberFormat="1" applyFont="1" applyFill="1" applyBorder="1" applyAlignment="1" applyProtection="1">
      <alignment horizontal="center" vertical="center"/>
      <protection/>
    </xf>
    <xf numFmtId="182" fontId="11" fillId="50" borderId="47" xfId="66" applyNumberFormat="1" applyFont="1" applyFill="1" applyBorder="1" applyAlignment="1" applyProtection="1">
      <alignment horizontal="center" vertical="center"/>
      <protection/>
    </xf>
    <xf numFmtId="182" fontId="11" fillId="50" borderId="69" xfId="66" applyNumberFormat="1" applyFont="1" applyFill="1" applyBorder="1" applyAlignment="1" applyProtection="1">
      <alignment horizontal="center" vertical="center"/>
      <protection/>
    </xf>
    <xf numFmtId="182" fontId="11" fillId="50" borderId="52" xfId="66" applyNumberFormat="1" applyFont="1" applyFill="1" applyBorder="1" applyAlignment="1" applyProtection="1">
      <alignment horizontal="center" vertical="center"/>
      <protection/>
    </xf>
    <xf numFmtId="182" fontId="11" fillId="75" borderId="20" xfId="66" applyNumberFormat="1" applyFont="1" applyFill="1" applyBorder="1" applyAlignment="1" applyProtection="1">
      <alignment vertical="center"/>
      <protection/>
    </xf>
    <xf numFmtId="182" fontId="11" fillId="49" borderId="116" xfId="66" applyNumberFormat="1" applyFont="1" applyFill="1" applyBorder="1" applyAlignment="1" applyProtection="1">
      <alignment horizontal="center" vertical="center"/>
      <protection/>
    </xf>
    <xf numFmtId="182" fontId="11" fillId="50" borderId="46" xfId="66" applyNumberFormat="1" applyFont="1" applyFill="1" applyBorder="1" applyAlignment="1" applyProtection="1">
      <alignment horizontal="center" vertical="center"/>
      <protection/>
    </xf>
    <xf numFmtId="182" fontId="16" fillId="76" borderId="20" xfId="66" applyNumberFormat="1" applyFont="1" applyFill="1" applyBorder="1" applyAlignment="1" applyProtection="1">
      <alignment vertical="center"/>
      <protection/>
    </xf>
    <xf numFmtId="190" fontId="0" fillId="76" borderId="20" xfId="62" applyNumberFormat="1" applyFill="1" applyBorder="1" applyProtection="1">
      <alignment/>
      <protection/>
    </xf>
    <xf numFmtId="189" fontId="16" fillId="0" borderId="11" xfId="0" applyNumberFormat="1" applyFont="1" applyBorder="1" applyAlignment="1" applyProtection="1">
      <alignment horizontal="left" vertical="center"/>
      <protection/>
    </xf>
    <xf numFmtId="190" fontId="0" fillId="76" borderId="20" xfId="62" applyNumberFormat="1" applyFill="1" applyBorder="1" applyAlignment="1" applyProtection="1">
      <alignment vertical="center"/>
      <protection/>
    </xf>
    <xf numFmtId="189" fontId="16" fillId="0" borderId="11" xfId="0" applyNumberFormat="1" applyFont="1" applyBorder="1" applyAlignment="1" applyProtection="1">
      <alignment horizontal="left" wrapText="1"/>
      <protection/>
    </xf>
    <xf numFmtId="182" fontId="16" fillId="76" borderId="20" xfId="66" applyNumberFormat="1" applyFont="1" applyFill="1" applyBorder="1" applyAlignment="1" applyProtection="1">
      <alignment vertical="center"/>
      <protection/>
    </xf>
    <xf numFmtId="182" fontId="13" fillId="58" borderId="52" xfId="66" applyNumberFormat="1" applyFont="1" applyFill="1" applyBorder="1" applyAlignment="1" applyProtection="1">
      <alignment horizontal="center" vertical="center"/>
      <protection/>
    </xf>
    <xf numFmtId="182" fontId="0" fillId="71" borderId="20" xfId="66" applyNumberFormat="1" applyFont="1" applyFill="1" applyBorder="1" applyAlignment="1" applyProtection="1">
      <alignment vertical="center"/>
      <protection/>
    </xf>
    <xf numFmtId="0" fontId="13" fillId="52" borderId="123" xfId="0" applyFont="1" applyFill="1" applyBorder="1" applyAlignment="1" applyProtection="1">
      <alignment horizontal="center" vertical="center" wrapText="1"/>
      <protection/>
    </xf>
    <xf numFmtId="0" fontId="13" fillId="58" borderId="52" xfId="0" applyFont="1" applyFill="1" applyBorder="1" applyAlignment="1" applyProtection="1">
      <alignment horizontal="center" vertical="center"/>
      <protection/>
    </xf>
    <xf numFmtId="195" fontId="0" fillId="47" borderId="20" xfId="66" applyNumberFormat="1" applyFont="1" applyFill="1" applyBorder="1" applyProtection="1">
      <alignment/>
      <protection/>
    </xf>
    <xf numFmtId="181" fontId="78" fillId="77" borderId="78" xfId="0" applyNumberFormat="1" applyFont="1" applyFill="1" applyBorder="1" applyAlignment="1" applyProtection="1">
      <alignment vertical="center"/>
      <protection/>
    </xf>
    <xf numFmtId="182" fontId="0" fillId="47" borderId="20" xfId="66" applyNumberFormat="1" applyFont="1" applyFill="1" applyBorder="1" applyAlignment="1" applyProtection="1">
      <alignment vertical="center"/>
      <protection locked="0"/>
    </xf>
    <xf numFmtId="0" fontId="19" fillId="47" borderId="11" xfId="0" applyFont="1" applyFill="1" applyBorder="1" applyAlignment="1" applyProtection="1">
      <alignment horizontal="center" vertical="center"/>
      <protection/>
    </xf>
    <xf numFmtId="0" fontId="73" fillId="41" borderId="0" xfId="0" applyFont="1" applyFill="1" applyBorder="1" applyAlignment="1" applyProtection="1">
      <alignment horizontal="left" vertical="center" indent="2"/>
      <protection/>
    </xf>
    <xf numFmtId="0" fontId="13" fillId="44" borderId="61" xfId="0" applyFont="1" applyFill="1" applyBorder="1" applyAlignment="1" applyProtection="1">
      <alignment horizontal="center" vertical="center" wrapText="1"/>
      <protection/>
    </xf>
    <xf numFmtId="0" fontId="13" fillId="44" borderId="36" xfId="0" applyFont="1" applyFill="1" applyBorder="1" applyAlignment="1" applyProtection="1">
      <alignment horizontal="center" vertical="center" wrapText="1"/>
      <protection/>
    </xf>
    <xf numFmtId="0" fontId="73" fillId="0" borderId="0" xfId="0" applyFont="1" applyBorder="1" applyAlignment="1" applyProtection="1">
      <alignment horizontal="left" vertical="center" indent="2"/>
      <protection/>
    </xf>
    <xf numFmtId="0" fontId="69" fillId="0" borderId="0" xfId="0" applyFont="1" applyFill="1" applyBorder="1" applyAlignment="1" applyProtection="1">
      <alignment horizontal="center" vertical="center"/>
      <protection/>
    </xf>
    <xf numFmtId="0" fontId="13" fillId="44" borderId="124" xfId="0" applyFont="1" applyFill="1" applyBorder="1" applyAlignment="1" applyProtection="1">
      <alignment horizontal="center" vertical="center" wrapText="1"/>
      <protection/>
    </xf>
    <xf numFmtId="0" fontId="13" fillId="44" borderId="95" xfId="0" applyFont="1" applyFill="1" applyBorder="1" applyAlignment="1" applyProtection="1">
      <alignment horizontal="center" vertical="center" wrapText="1"/>
      <protection/>
    </xf>
    <xf numFmtId="42" fontId="0" fillId="32" borderId="20" xfId="67" applyFont="1" applyFill="1" applyBorder="1" applyAlignment="1" applyProtection="1">
      <alignment horizontal="center" vertical="center"/>
      <protection/>
    </xf>
    <xf numFmtId="42" fontId="72" fillId="32" borderId="20" xfId="67" applyFont="1" applyFill="1" applyBorder="1" applyAlignment="1" applyProtection="1">
      <alignment horizontal="center" vertical="center"/>
      <protection/>
    </xf>
    <xf numFmtId="0" fontId="61" fillId="0" borderId="0" xfId="60" applyAlignment="1" applyProtection="1">
      <alignment horizontal="left"/>
      <protection/>
    </xf>
    <xf numFmtId="0" fontId="61" fillId="0" borderId="0" xfId="60" applyAlignment="1">
      <alignment/>
    </xf>
    <xf numFmtId="0" fontId="0" fillId="0" borderId="0" xfId="0" applyFont="1" applyAlignment="1">
      <alignment/>
    </xf>
    <xf numFmtId="0" fontId="61" fillId="0" borderId="0" xfId="60" applyFont="1" applyAlignment="1">
      <alignment/>
    </xf>
    <xf numFmtId="0" fontId="61" fillId="0" borderId="0" xfId="60" applyBorder="1" applyAlignment="1" applyProtection="1">
      <alignment horizontal="left" vertical="center"/>
      <protection/>
    </xf>
    <xf numFmtId="0" fontId="61" fillId="0" borderId="0" xfId="60" applyBorder="1" applyAlignment="1" applyProtection="1">
      <alignment horizontal="left" vertical="center" wrapText="1"/>
      <protection/>
    </xf>
    <xf numFmtId="0" fontId="61" fillId="0" borderId="0" xfId="60" applyBorder="1" applyAlignment="1" applyProtection="1">
      <alignment horizontal="left" vertical="center" indent="2"/>
      <protection/>
    </xf>
    <xf numFmtId="182" fontId="18" fillId="53" borderId="75" xfId="0" applyNumberFormat="1" applyFont="1" applyFill="1" applyBorder="1" applyAlignment="1" applyProtection="1">
      <alignment horizontal="right" vertical="center"/>
      <protection/>
    </xf>
    <xf numFmtId="182" fontId="18" fillId="53" borderId="80" xfId="0" applyNumberFormat="1" applyFont="1" applyFill="1" applyBorder="1" applyAlignment="1" applyProtection="1">
      <alignment horizontal="right" vertical="center"/>
      <protection/>
    </xf>
    <xf numFmtId="182" fontId="18" fillId="53" borderId="104" xfId="0" applyNumberFormat="1" applyFont="1" applyFill="1" applyBorder="1" applyAlignment="1" applyProtection="1">
      <alignment horizontal="right" vertical="center"/>
      <protection/>
    </xf>
    <xf numFmtId="182" fontId="78" fillId="78" borderId="102" xfId="0" applyNumberFormat="1" applyFont="1" applyFill="1" applyBorder="1" applyAlignment="1" applyProtection="1">
      <alignment horizontal="center" vertical="center" wrapText="1"/>
      <protection/>
    </xf>
    <xf numFmtId="182" fontId="78" fillId="78" borderId="30" xfId="0" applyNumberFormat="1" applyFont="1" applyFill="1" applyBorder="1" applyAlignment="1" applyProtection="1">
      <alignment horizontal="center" vertical="center" wrapText="1"/>
      <protection/>
    </xf>
    <xf numFmtId="182" fontId="78" fillId="78" borderId="103" xfId="0" applyNumberFormat="1" applyFont="1" applyFill="1" applyBorder="1" applyAlignment="1" applyProtection="1">
      <alignment horizontal="center" vertical="center" wrapText="1"/>
      <protection/>
    </xf>
    <xf numFmtId="182" fontId="18" fillId="53" borderId="94" xfId="0" applyNumberFormat="1" applyFont="1" applyFill="1" applyBorder="1" applyAlignment="1" applyProtection="1">
      <alignment horizontal="center" vertical="center"/>
      <protection/>
    </xf>
    <xf numFmtId="182" fontId="18" fillId="53" borderId="95" xfId="0" applyNumberFormat="1" applyFont="1" applyFill="1" applyBorder="1" applyAlignment="1" applyProtection="1">
      <alignment horizontal="center" vertical="center"/>
      <protection/>
    </xf>
    <xf numFmtId="0" fontId="19" fillId="54" borderId="39" xfId="0" applyFont="1" applyFill="1" applyBorder="1" applyAlignment="1" applyProtection="1">
      <alignment horizontal="center" vertical="center" wrapText="1"/>
      <protection/>
    </xf>
    <xf numFmtId="0" fontId="19" fillId="54" borderId="44" xfId="0" applyFont="1" applyFill="1" applyBorder="1" applyAlignment="1" applyProtection="1">
      <alignment horizontal="center" vertical="center" wrapText="1"/>
      <protection/>
    </xf>
    <xf numFmtId="0" fontId="19" fillId="54" borderId="63" xfId="0" applyFont="1" applyFill="1" applyBorder="1" applyAlignment="1" applyProtection="1">
      <alignment horizontal="center" vertical="center" wrapText="1"/>
      <protection/>
    </xf>
    <xf numFmtId="0" fontId="0" fillId="0" borderId="77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right" vertical="center"/>
      <protection/>
    </xf>
    <xf numFmtId="0" fontId="19" fillId="47" borderId="11" xfId="0" applyFont="1" applyFill="1" applyBorder="1" applyAlignment="1" applyProtection="1">
      <alignment horizontal="center" vertical="center"/>
      <protection/>
    </xf>
    <xf numFmtId="0" fontId="19" fillId="47" borderId="21" xfId="0" applyFont="1" applyFill="1" applyBorder="1" applyAlignment="1" applyProtection="1">
      <alignment horizontal="center" vertical="center"/>
      <protection/>
    </xf>
    <xf numFmtId="0" fontId="19" fillId="47" borderId="15" xfId="0" applyFont="1" applyFill="1" applyBorder="1" applyAlignment="1" applyProtection="1">
      <alignment horizontal="center" vertical="center"/>
      <protection/>
    </xf>
    <xf numFmtId="182" fontId="13" fillId="39" borderId="90" xfId="0" applyNumberFormat="1" applyFont="1" applyFill="1" applyBorder="1" applyAlignment="1" applyProtection="1">
      <alignment horizontal="center" vertical="center"/>
      <protection/>
    </xf>
    <xf numFmtId="182" fontId="13" fillId="39" borderId="88" xfId="0" applyNumberFormat="1" applyFont="1" applyFill="1" applyBorder="1" applyAlignment="1" applyProtection="1">
      <alignment horizontal="center" vertical="center"/>
      <protection/>
    </xf>
    <xf numFmtId="182" fontId="19" fillId="79" borderId="125" xfId="0" applyNumberFormat="1" applyFont="1" applyFill="1" applyBorder="1" applyAlignment="1" applyProtection="1">
      <alignment horizontal="center" vertical="center" wrapText="1"/>
      <protection/>
    </xf>
    <xf numFmtId="182" fontId="19" fillId="79" borderId="126" xfId="0" applyNumberFormat="1" applyFont="1" applyFill="1" applyBorder="1" applyAlignment="1" applyProtection="1">
      <alignment horizontal="center" vertical="center" wrapText="1"/>
      <protection/>
    </xf>
    <xf numFmtId="182" fontId="19" fillId="79" borderId="127" xfId="0" applyNumberFormat="1" applyFont="1" applyFill="1" applyBorder="1" applyAlignment="1" applyProtection="1">
      <alignment horizontal="center" vertical="center" wrapText="1"/>
      <protection/>
    </xf>
    <xf numFmtId="0" fontId="73" fillId="0" borderId="0" xfId="0" applyFont="1" applyFill="1" applyBorder="1" applyAlignment="1" applyProtection="1">
      <alignment horizontal="left" vertical="center" indent="2"/>
      <protection/>
    </xf>
    <xf numFmtId="182" fontId="0" fillId="40" borderId="35" xfId="66" applyNumberFormat="1" applyFont="1" applyFill="1" applyBorder="1" applyAlignment="1" applyProtection="1">
      <alignment horizontal="right" vertical="center"/>
      <protection/>
    </xf>
    <xf numFmtId="182" fontId="0" fillId="40" borderId="34" xfId="66" applyNumberFormat="1" applyFont="1" applyFill="1" applyBorder="1" applyAlignment="1" applyProtection="1">
      <alignment horizontal="right" vertical="center"/>
      <protection/>
    </xf>
    <xf numFmtId="182" fontId="69" fillId="78" borderId="128" xfId="0" applyNumberFormat="1" applyFont="1" applyFill="1" applyBorder="1" applyAlignment="1" applyProtection="1">
      <alignment horizontal="center" vertical="center" wrapText="1"/>
      <protection/>
    </xf>
    <xf numFmtId="182" fontId="69" fillId="78" borderId="13" xfId="0" applyNumberFormat="1" applyFont="1" applyFill="1" applyBorder="1" applyAlignment="1" applyProtection="1">
      <alignment horizontal="center" vertical="center" wrapText="1"/>
      <protection/>
    </xf>
    <xf numFmtId="182" fontId="69" fillId="78" borderId="126" xfId="0" applyNumberFormat="1" applyFont="1" applyFill="1" applyBorder="1" applyAlignment="1" applyProtection="1">
      <alignment horizontal="center" vertical="center" wrapText="1"/>
      <protection/>
    </xf>
    <xf numFmtId="182" fontId="69" fillId="78" borderId="27" xfId="0" applyNumberFormat="1" applyFont="1" applyFill="1" applyBorder="1" applyAlignment="1" applyProtection="1">
      <alignment horizontal="center" vertical="center" wrapText="1"/>
      <protection/>
    </xf>
    <xf numFmtId="182" fontId="69" fillId="78" borderId="36" xfId="0" applyNumberFormat="1" applyFont="1" applyFill="1" applyBorder="1" applyAlignment="1" applyProtection="1">
      <alignment horizontal="center" vertical="center" wrapText="1"/>
      <protection/>
    </xf>
    <xf numFmtId="182" fontId="69" fillId="78" borderId="129" xfId="0" applyNumberFormat="1" applyFont="1" applyFill="1" applyBorder="1" applyAlignment="1" applyProtection="1">
      <alignment horizontal="center" vertical="center" wrapText="1"/>
      <protection/>
    </xf>
    <xf numFmtId="182" fontId="79" fillId="80" borderId="130" xfId="0" applyNumberFormat="1" applyFont="1" applyFill="1" applyBorder="1" applyAlignment="1" applyProtection="1">
      <alignment horizontal="center" vertical="center" wrapText="1"/>
      <protection/>
    </xf>
    <xf numFmtId="182" fontId="79" fillId="80" borderId="22" xfId="0" applyNumberFormat="1" applyFont="1" applyFill="1" applyBorder="1" applyAlignment="1" applyProtection="1">
      <alignment horizontal="center" vertical="center" wrapText="1"/>
      <protection/>
    </xf>
    <xf numFmtId="0" fontId="13" fillId="39" borderId="131" xfId="0" applyFont="1" applyFill="1" applyBorder="1" applyAlignment="1" applyProtection="1">
      <alignment horizontal="center" vertical="center" wrapText="1"/>
      <protection/>
    </xf>
    <xf numFmtId="0" fontId="13" fillId="39" borderId="43" xfId="0" applyFont="1" applyFill="1" applyBorder="1" applyAlignment="1" applyProtection="1">
      <alignment horizontal="center" vertical="center" wrapText="1"/>
      <protection/>
    </xf>
    <xf numFmtId="0" fontId="13" fillId="39" borderId="132" xfId="0" applyFont="1" applyFill="1" applyBorder="1" applyAlignment="1" applyProtection="1">
      <alignment horizontal="center" vertical="center" wrapText="1"/>
      <protection/>
    </xf>
    <xf numFmtId="0" fontId="13" fillId="39" borderId="19" xfId="0" applyFont="1" applyFill="1" applyBorder="1" applyAlignment="1" applyProtection="1">
      <alignment horizontal="center" vertical="center" wrapText="1"/>
      <protection/>
    </xf>
    <xf numFmtId="0" fontId="19" fillId="0" borderId="39" xfId="0" applyFont="1" applyFill="1" applyBorder="1" applyAlignment="1" applyProtection="1">
      <alignment horizontal="center" vertical="center" wrapText="1"/>
      <protection/>
    </xf>
    <xf numFmtId="0" fontId="19" fillId="0" borderId="44" xfId="0" applyFont="1" applyFill="1" applyBorder="1" applyAlignment="1" applyProtection="1">
      <alignment horizontal="center" vertical="center" wrapText="1"/>
      <protection/>
    </xf>
    <xf numFmtId="0" fontId="19" fillId="0" borderId="63" xfId="0" applyFont="1" applyFill="1" applyBorder="1" applyAlignment="1" applyProtection="1">
      <alignment horizontal="center" vertical="center" wrapText="1"/>
      <protection/>
    </xf>
    <xf numFmtId="0" fontId="18" fillId="0" borderId="85" xfId="0" applyFont="1" applyFill="1" applyBorder="1" applyAlignment="1" applyProtection="1">
      <alignment horizontal="center" vertical="center" wrapText="1"/>
      <protection/>
    </xf>
    <xf numFmtId="0" fontId="18" fillId="0" borderId="86" xfId="0" applyFont="1" applyFill="1" applyBorder="1" applyAlignment="1" applyProtection="1">
      <alignment horizontal="center" vertical="center" wrapText="1"/>
      <protection/>
    </xf>
    <xf numFmtId="0" fontId="18" fillId="0" borderId="87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right" vertical="center"/>
      <protection/>
    </xf>
    <xf numFmtId="182" fontId="78" fillId="78" borderId="133" xfId="0" applyNumberFormat="1" applyFont="1" applyFill="1" applyBorder="1" applyAlignment="1" applyProtection="1">
      <alignment horizontal="center" vertical="center" wrapText="1"/>
      <protection/>
    </xf>
    <xf numFmtId="182" fontId="78" fillId="78" borderId="60" xfId="0" applyNumberFormat="1" applyFont="1" applyFill="1" applyBorder="1" applyAlignment="1" applyProtection="1">
      <alignment horizontal="center" vertical="center" wrapText="1"/>
      <protection/>
    </xf>
    <xf numFmtId="0" fontId="19" fillId="44" borderId="32" xfId="0" applyFont="1" applyFill="1" applyBorder="1" applyAlignment="1" applyProtection="1">
      <alignment horizontal="center" vertical="center" wrapText="1"/>
      <protection/>
    </xf>
    <xf numFmtId="0" fontId="19" fillId="44" borderId="95" xfId="0" applyFont="1" applyFill="1" applyBorder="1" applyAlignment="1" applyProtection="1">
      <alignment horizontal="center" vertical="center" wrapText="1"/>
      <protection/>
    </xf>
    <xf numFmtId="182" fontId="78" fillId="78" borderId="134" xfId="0" applyNumberFormat="1" applyFont="1" applyFill="1" applyBorder="1" applyAlignment="1" applyProtection="1">
      <alignment horizontal="center" vertical="center" wrapText="1"/>
      <protection/>
    </xf>
    <xf numFmtId="182" fontId="78" fillId="78" borderId="135" xfId="0" applyNumberFormat="1" applyFont="1" applyFill="1" applyBorder="1" applyAlignment="1" applyProtection="1">
      <alignment horizontal="center" vertical="center" wrapText="1"/>
      <protection/>
    </xf>
    <xf numFmtId="182" fontId="78" fillId="78" borderId="114" xfId="0" applyNumberFormat="1" applyFont="1" applyFill="1" applyBorder="1" applyAlignment="1" applyProtection="1">
      <alignment horizontal="center" vertical="center" wrapText="1"/>
      <protection/>
    </xf>
    <xf numFmtId="0" fontId="73" fillId="41" borderId="0" xfId="0" applyFont="1" applyFill="1" applyBorder="1" applyAlignment="1" applyProtection="1">
      <alignment horizontal="left" vertical="center" indent="2"/>
      <protection/>
    </xf>
    <xf numFmtId="0" fontId="19" fillId="39" borderId="39" xfId="0" applyFont="1" applyFill="1" applyBorder="1" applyAlignment="1" applyProtection="1">
      <alignment horizontal="center" vertical="center" wrapText="1"/>
      <protection/>
    </xf>
    <xf numFmtId="0" fontId="19" fillId="39" borderId="63" xfId="0" applyFont="1" applyFill="1" applyBorder="1" applyAlignment="1" applyProtection="1">
      <alignment horizontal="center" vertical="center" wrapText="1"/>
      <protection/>
    </xf>
    <xf numFmtId="0" fontId="19" fillId="44" borderId="34" xfId="0" applyFont="1" applyFill="1" applyBorder="1" applyAlignment="1" applyProtection="1">
      <alignment horizontal="center" vertical="center" wrapText="1"/>
      <protection/>
    </xf>
    <xf numFmtId="0" fontId="19" fillId="44" borderId="37" xfId="0" applyFont="1" applyFill="1" applyBorder="1" applyAlignment="1" applyProtection="1">
      <alignment horizontal="center" vertical="center" wrapText="1"/>
      <protection/>
    </xf>
    <xf numFmtId="0" fontId="19" fillId="39" borderId="85" xfId="0" applyFont="1" applyFill="1" applyBorder="1" applyAlignment="1" applyProtection="1">
      <alignment horizontal="center" vertical="center" wrapText="1"/>
      <protection/>
    </xf>
    <xf numFmtId="0" fontId="19" fillId="39" borderId="110" xfId="0" applyFont="1" applyFill="1" applyBorder="1" applyAlignment="1" applyProtection="1">
      <alignment horizontal="center" vertical="center" wrapText="1"/>
      <protection/>
    </xf>
    <xf numFmtId="0" fontId="18" fillId="0" borderId="110" xfId="0" applyFont="1" applyFill="1" applyBorder="1" applyAlignment="1" applyProtection="1">
      <alignment horizontal="center" vertical="center" wrapText="1"/>
      <protection/>
    </xf>
    <xf numFmtId="0" fontId="19" fillId="81" borderId="136" xfId="0" applyFont="1" applyFill="1" applyBorder="1" applyAlignment="1" applyProtection="1">
      <alignment horizontal="center" vertical="center"/>
      <protection/>
    </xf>
    <xf numFmtId="0" fontId="19" fillId="81" borderId="137" xfId="0" applyFont="1" applyFill="1" applyBorder="1" applyAlignment="1" applyProtection="1">
      <alignment horizontal="center" vertical="center"/>
      <protection/>
    </xf>
    <xf numFmtId="0" fontId="18" fillId="8" borderId="39" xfId="0" applyFont="1" applyFill="1" applyBorder="1" applyAlignment="1" applyProtection="1">
      <alignment horizontal="center" vertical="center" wrapText="1"/>
      <protection/>
    </xf>
    <xf numFmtId="0" fontId="18" fillId="8" borderId="44" xfId="0" applyFont="1" applyFill="1" applyBorder="1" applyAlignment="1" applyProtection="1">
      <alignment horizontal="center" vertical="center" wrapText="1"/>
      <protection/>
    </xf>
    <xf numFmtId="0" fontId="18" fillId="8" borderId="48" xfId="0" applyFont="1" applyFill="1" applyBorder="1" applyAlignment="1" applyProtection="1">
      <alignment horizontal="center" vertical="center" wrapText="1"/>
      <protection/>
    </xf>
    <xf numFmtId="182" fontId="78" fillId="78" borderId="113" xfId="0" applyNumberFormat="1" applyFont="1" applyFill="1" applyBorder="1" applyAlignment="1" applyProtection="1">
      <alignment horizontal="center" vertical="center" wrapText="1"/>
      <protection/>
    </xf>
    <xf numFmtId="182" fontId="78" fillId="78" borderId="138" xfId="0" applyNumberFormat="1" applyFont="1" applyFill="1" applyBorder="1" applyAlignment="1" applyProtection="1">
      <alignment horizontal="center" vertical="center" wrapText="1"/>
      <protection/>
    </xf>
    <xf numFmtId="182" fontId="13" fillId="39" borderId="58" xfId="0" applyNumberFormat="1" applyFont="1" applyFill="1" applyBorder="1" applyAlignment="1" applyProtection="1">
      <alignment horizontal="center" vertical="center" wrapText="1"/>
      <protection/>
    </xf>
    <xf numFmtId="182" fontId="13" fillId="39" borderId="59" xfId="0" applyNumberFormat="1" applyFont="1" applyFill="1" applyBorder="1" applyAlignment="1" applyProtection="1">
      <alignment horizontal="center" vertical="center" wrapText="1"/>
      <protection/>
    </xf>
    <xf numFmtId="182" fontId="13" fillId="39" borderId="60" xfId="0" applyNumberFormat="1" applyFont="1" applyFill="1" applyBorder="1" applyAlignment="1" applyProtection="1">
      <alignment horizontal="center" vertical="center" wrapText="1"/>
      <protection/>
    </xf>
    <xf numFmtId="182" fontId="78" fillId="78" borderId="139" xfId="0" applyNumberFormat="1" applyFont="1" applyFill="1" applyBorder="1" applyAlignment="1" applyProtection="1">
      <alignment horizontal="center" vertical="center" wrapText="1"/>
      <protection/>
    </xf>
    <xf numFmtId="182" fontId="78" fillId="78" borderId="140" xfId="0" applyNumberFormat="1" applyFont="1" applyFill="1" applyBorder="1" applyAlignment="1" applyProtection="1">
      <alignment horizontal="center" vertical="center" wrapText="1"/>
      <protection/>
    </xf>
    <xf numFmtId="182" fontId="78" fillId="78" borderId="51" xfId="0" applyNumberFormat="1" applyFont="1" applyFill="1" applyBorder="1" applyAlignment="1" applyProtection="1">
      <alignment horizontal="center" vertical="center" wrapText="1"/>
      <protection/>
    </xf>
    <xf numFmtId="182" fontId="78" fillId="78" borderId="77" xfId="0" applyNumberFormat="1" applyFont="1" applyFill="1" applyBorder="1" applyAlignment="1" applyProtection="1">
      <alignment horizontal="center" vertical="center" wrapText="1"/>
      <protection/>
    </xf>
    <xf numFmtId="182" fontId="78" fillId="78" borderId="53" xfId="0" applyNumberFormat="1" applyFont="1" applyFill="1" applyBorder="1" applyAlignment="1" applyProtection="1">
      <alignment horizontal="center" vertical="center" wrapText="1"/>
      <protection/>
    </xf>
    <xf numFmtId="182" fontId="11" fillId="49" borderId="69" xfId="66" applyNumberFormat="1" applyFont="1" applyFill="1" applyBorder="1" applyAlignment="1" applyProtection="1">
      <alignment horizontal="center" vertical="center"/>
      <protection/>
    </xf>
    <xf numFmtId="182" fontId="11" fillId="49" borderId="52" xfId="66" applyNumberFormat="1" applyFont="1" applyFill="1" applyBorder="1" applyAlignment="1" applyProtection="1">
      <alignment horizontal="center" vertical="center"/>
      <protection/>
    </xf>
    <xf numFmtId="182" fontId="11" fillId="50" borderId="47" xfId="66" applyNumberFormat="1" applyFont="1" applyFill="1" applyBorder="1" applyAlignment="1" applyProtection="1">
      <alignment horizontal="center" vertical="center"/>
      <protection/>
    </xf>
    <xf numFmtId="182" fontId="11" fillId="50" borderId="69" xfId="66" applyNumberFormat="1" applyFont="1" applyFill="1" applyBorder="1" applyAlignment="1" applyProtection="1">
      <alignment horizontal="center" vertical="center"/>
      <protection/>
    </xf>
    <xf numFmtId="182" fontId="11" fillId="50" borderId="52" xfId="66" applyNumberFormat="1" applyFont="1" applyFill="1" applyBorder="1" applyAlignment="1" applyProtection="1">
      <alignment horizontal="center" vertical="center"/>
      <protection/>
    </xf>
    <xf numFmtId="0" fontId="19" fillId="0" borderId="102" xfId="0" applyFont="1" applyBorder="1" applyAlignment="1" applyProtection="1">
      <alignment horizontal="center" vertical="top" wrapText="1"/>
      <protection/>
    </xf>
    <xf numFmtId="0" fontId="19" fillId="0" borderId="141" xfId="0" applyFont="1" applyBorder="1" applyAlignment="1" applyProtection="1">
      <alignment horizontal="center" vertical="top" wrapText="1"/>
      <protection/>
    </xf>
    <xf numFmtId="0" fontId="19" fillId="0" borderId="54" xfId="0" applyFont="1" applyBorder="1" applyAlignment="1" applyProtection="1">
      <alignment horizontal="center" vertical="top" wrapText="1"/>
      <protection/>
    </xf>
    <xf numFmtId="0" fontId="11" fillId="39" borderId="130" xfId="0" applyFont="1" applyFill="1" applyBorder="1" applyAlignment="1" applyProtection="1">
      <alignment horizontal="center" vertical="center"/>
      <protection/>
    </xf>
    <xf numFmtId="0" fontId="11" fillId="39" borderId="142" xfId="0" applyFont="1" applyFill="1" applyBorder="1" applyAlignment="1" applyProtection="1">
      <alignment horizontal="center" vertical="center"/>
      <protection/>
    </xf>
    <xf numFmtId="0" fontId="11" fillId="44" borderId="77" xfId="0" applyFont="1" applyFill="1" applyBorder="1" applyAlignment="1" applyProtection="1">
      <alignment horizontal="center" vertical="center" wrapText="1"/>
      <protection/>
    </xf>
    <xf numFmtId="0" fontId="11" fillId="44" borderId="71" xfId="0" applyFont="1" applyFill="1" applyBorder="1" applyAlignment="1" applyProtection="1">
      <alignment horizontal="center" vertical="center" wrapText="1"/>
      <protection/>
    </xf>
    <xf numFmtId="0" fontId="11" fillId="61" borderId="77" xfId="0" applyFont="1" applyFill="1" applyBorder="1" applyAlignment="1" applyProtection="1">
      <alignment horizontal="center" vertical="center"/>
      <protection/>
    </xf>
    <xf numFmtId="0" fontId="80" fillId="54" borderId="94" xfId="0" applyFont="1" applyFill="1" applyBorder="1" applyAlignment="1" applyProtection="1">
      <alignment horizontal="center" vertical="center"/>
      <protection/>
    </xf>
    <xf numFmtId="0" fontId="80" fillId="54" borderId="78" xfId="0" applyFont="1" applyFill="1" applyBorder="1" applyAlignment="1" applyProtection="1">
      <alignment horizontal="center" vertical="center"/>
      <protection/>
    </xf>
    <xf numFmtId="188" fontId="78" fillId="77" borderId="0" xfId="62" applyNumberFormat="1" applyFont="1" applyFill="1" applyBorder="1" applyAlignment="1" applyProtection="1">
      <alignment horizontal="right" vertical="center" wrapText="1"/>
      <protection/>
    </xf>
    <xf numFmtId="188" fontId="78" fillId="77" borderId="143" xfId="62" applyNumberFormat="1" applyFont="1" applyFill="1" applyBorder="1" applyAlignment="1" applyProtection="1">
      <alignment horizontal="right" vertical="center" wrapText="1"/>
      <protection/>
    </xf>
    <xf numFmtId="0" fontId="13" fillId="61" borderId="126" xfId="0" applyFont="1" applyFill="1" applyBorder="1" applyAlignment="1" applyProtection="1">
      <alignment horizontal="center" vertical="center"/>
      <protection/>
    </xf>
    <xf numFmtId="0" fontId="13" fillId="61" borderId="144" xfId="0" applyFont="1" applyFill="1" applyBorder="1" applyAlignment="1" applyProtection="1">
      <alignment horizontal="center" vertical="center"/>
      <protection/>
    </xf>
    <xf numFmtId="0" fontId="11" fillId="44" borderId="125" xfId="0" applyFont="1" applyFill="1" applyBorder="1" applyAlignment="1" applyProtection="1">
      <alignment horizontal="center" vertical="center"/>
      <protection/>
    </xf>
    <xf numFmtId="0" fontId="11" fillId="44" borderId="145" xfId="0" applyFont="1" applyFill="1" applyBorder="1" applyAlignment="1" applyProtection="1">
      <alignment horizontal="center" vertical="center"/>
      <protection/>
    </xf>
    <xf numFmtId="180" fontId="13" fillId="82" borderId="60" xfId="66" applyFont="1" applyFill="1" applyBorder="1" applyAlignment="1" applyProtection="1">
      <alignment horizontal="center" vertical="center" wrapText="1"/>
      <protection/>
    </xf>
    <xf numFmtId="180" fontId="13" fillId="82" borderId="67" xfId="66" applyFont="1" applyFill="1" applyBorder="1" applyAlignment="1" applyProtection="1">
      <alignment horizontal="center" vertical="center" wrapText="1"/>
      <protection/>
    </xf>
    <xf numFmtId="0" fontId="80" fillId="54" borderId="94" xfId="0" applyFont="1" applyFill="1" applyBorder="1" applyAlignment="1" applyProtection="1">
      <alignment horizontal="center" vertical="center" wrapText="1"/>
      <protection/>
    </xf>
    <xf numFmtId="0" fontId="80" fillId="54" borderId="78" xfId="0" applyFont="1" applyFill="1" applyBorder="1" applyAlignment="1" applyProtection="1">
      <alignment horizontal="center" vertical="center" wrapText="1"/>
      <protection/>
    </xf>
    <xf numFmtId="0" fontId="81" fillId="83" borderId="73" xfId="0" applyFont="1" applyFill="1" applyBorder="1" applyAlignment="1" applyProtection="1">
      <alignment horizontal="center" vertical="center" wrapText="1"/>
      <protection/>
    </xf>
    <xf numFmtId="0" fontId="81" fillId="83" borderId="146" xfId="0" applyFont="1" applyFill="1" applyBorder="1" applyAlignment="1" applyProtection="1">
      <alignment horizontal="center" vertical="center" wrapText="1"/>
      <protection/>
    </xf>
    <xf numFmtId="180" fontId="13" fillId="82" borderId="53" xfId="66" applyFont="1" applyFill="1" applyBorder="1" applyAlignment="1" applyProtection="1">
      <alignment horizontal="center" vertical="center" wrapText="1"/>
      <protection/>
    </xf>
    <xf numFmtId="180" fontId="13" fillId="82" borderId="49" xfId="66" applyFont="1" applyFill="1" applyBorder="1" applyAlignment="1" applyProtection="1">
      <alignment horizontal="center" vertical="center" wrapText="1"/>
      <protection/>
    </xf>
    <xf numFmtId="0" fontId="71" fillId="0" borderId="0" xfId="0" applyFont="1" applyFill="1" applyBorder="1" applyAlignment="1" applyProtection="1">
      <alignment horizontal="left" vertical="center"/>
      <protection/>
    </xf>
    <xf numFmtId="0" fontId="10" fillId="14" borderId="87" xfId="0" applyFont="1" applyFill="1" applyBorder="1" applyAlignment="1" applyProtection="1">
      <alignment horizontal="center" vertical="center"/>
      <protection/>
    </xf>
    <xf numFmtId="0" fontId="10" fillId="14" borderId="122" xfId="0" applyFont="1" applyFill="1" applyBorder="1" applyAlignment="1" applyProtection="1">
      <alignment horizontal="center" vertical="center"/>
      <protection/>
    </xf>
    <xf numFmtId="191" fontId="0" fillId="15" borderId="106" xfId="0" applyNumberFormat="1" applyFont="1" applyFill="1" applyBorder="1" applyAlignment="1" applyProtection="1">
      <alignment horizontal="center" vertical="center"/>
      <protection/>
    </xf>
    <xf numFmtId="191" fontId="0" fillId="15" borderId="147" xfId="0" applyNumberFormat="1" applyFont="1" applyFill="1" applyBorder="1" applyAlignment="1" applyProtection="1">
      <alignment horizontal="center" vertical="center"/>
      <protection/>
    </xf>
    <xf numFmtId="0" fontId="13" fillId="44" borderId="36" xfId="0" applyFont="1" applyFill="1" applyBorder="1" applyAlignment="1" applyProtection="1">
      <alignment horizontal="center" vertical="center" wrapText="1"/>
      <protection/>
    </xf>
    <xf numFmtId="0" fontId="13" fillId="44" borderId="70" xfId="0" applyFont="1" applyFill="1" applyBorder="1" applyAlignment="1" applyProtection="1">
      <alignment horizontal="center" vertical="center" wrapText="1"/>
      <protection/>
    </xf>
    <xf numFmtId="0" fontId="69" fillId="14" borderId="51" xfId="0" applyFont="1" applyFill="1" applyBorder="1" applyAlignment="1" applyProtection="1">
      <alignment horizontal="center" vertical="center"/>
      <protection/>
    </xf>
    <xf numFmtId="0" fontId="69" fillId="14" borderId="53" xfId="0" applyFont="1" applyFill="1" applyBorder="1" applyAlignment="1" applyProtection="1">
      <alignment horizontal="center" vertical="center"/>
      <protection/>
    </xf>
    <xf numFmtId="0" fontId="69" fillId="14" borderId="85" xfId="0" applyFont="1" applyFill="1" applyBorder="1" applyAlignment="1" applyProtection="1">
      <alignment horizontal="center" vertical="center"/>
      <protection/>
    </xf>
    <xf numFmtId="0" fontId="69" fillId="14" borderId="148" xfId="0" applyFont="1" applyFill="1" applyBorder="1" applyAlignment="1" applyProtection="1">
      <alignment horizontal="center" vertical="center"/>
      <protection/>
    </xf>
    <xf numFmtId="0" fontId="69" fillId="56" borderId="85" xfId="0" applyFont="1" applyFill="1" applyBorder="1" applyAlignment="1" applyProtection="1">
      <alignment horizontal="center" vertical="center"/>
      <protection/>
    </xf>
    <xf numFmtId="0" fontId="69" fillId="56" borderId="148" xfId="0" applyFont="1" applyFill="1" applyBorder="1" applyAlignment="1" applyProtection="1">
      <alignment horizontal="center" vertical="center"/>
      <protection/>
    </xf>
    <xf numFmtId="0" fontId="69" fillId="55" borderId="85" xfId="0" applyFont="1" applyFill="1" applyBorder="1" applyAlignment="1" applyProtection="1">
      <alignment horizontal="center" vertical="center"/>
      <protection/>
    </xf>
    <xf numFmtId="0" fontId="69" fillId="55" borderId="148" xfId="0" applyFont="1" applyFill="1" applyBorder="1" applyAlignment="1" applyProtection="1">
      <alignment horizontal="center" vertical="center"/>
      <protection/>
    </xf>
    <xf numFmtId="0" fontId="10" fillId="55" borderId="87" xfId="0" applyFont="1" applyFill="1" applyBorder="1" applyAlignment="1" applyProtection="1">
      <alignment horizontal="center" vertical="center"/>
      <protection/>
    </xf>
    <xf numFmtId="0" fontId="10" fillId="55" borderId="122" xfId="0" applyFont="1" applyFill="1" applyBorder="1" applyAlignment="1" applyProtection="1">
      <alignment horizontal="center" vertical="center"/>
      <protection/>
    </xf>
    <xf numFmtId="0" fontId="69" fillId="55" borderId="39" xfId="0" applyFont="1" applyFill="1" applyBorder="1" applyAlignment="1" applyProtection="1">
      <alignment horizontal="center" vertical="center"/>
      <protection/>
    </xf>
    <xf numFmtId="0" fontId="69" fillId="55" borderId="32" xfId="0" applyFont="1" applyFill="1" applyBorder="1" applyAlignment="1" applyProtection="1">
      <alignment horizontal="center" vertical="center"/>
      <protection/>
    </xf>
    <xf numFmtId="0" fontId="69" fillId="56" borderId="39" xfId="0" applyFont="1" applyFill="1" applyBorder="1" applyAlignment="1" applyProtection="1">
      <alignment horizontal="center" vertical="center"/>
      <protection/>
    </xf>
    <xf numFmtId="0" fontId="69" fillId="56" borderId="53" xfId="0" applyFont="1" applyFill="1" applyBorder="1" applyAlignment="1" applyProtection="1">
      <alignment horizontal="center" vertical="center"/>
      <protection/>
    </xf>
    <xf numFmtId="0" fontId="69" fillId="14" borderId="68" xfId="0" applyFont="1" applyFill="1" applyBorder="1" applyAlignment="1" applyProtection="1">
      <alignment horizontal="center" vertical="center"/>
      <protection/>
    </xf>
    <xf numFmtId="0" fontId="13" fillId="44" borderId="58" xfId="0" applyFont="1" applyFill="1" applyBorder="1" applyAlignment="1" applyProtection="1">
      <alignment horizontal="center" vertical="center" wrapText="1"/>
      <protection/>
    </xf>
    <xf numFmtId="0" fontId="13" fillId="44" borderId="38" xfId="0" applyFont="1" applyFill="1" applyBorder="1" applyAlignment="1" applyProtection="1">
      <alignment horizontal="center" vertical="center" wrapText="1"/>
      <protection/>
    </xf>
    <xf numFmtId="0" fontId="13" fillId="44" borderId="61" xfId="0" applyFont="1" applyFill="1" applyBorder="1" applyAlignment="1" applyProtection="1">
      <alignment horizontal="center" vertical="center" wrapText="1"/>
      <protection/>
    </xf>
    <xf numFmtId="0" fontId="13" fillId="44" borderId="143" xfId="0" applyFont="1" applyFill="1" applyBorder="1" applyAlignment="1" applyProtection="1">
      <alignment horizontal="center" vertical="center" wrapText="1"/>
      <protection/>
    </xf>
    <xf numFmtId="0" fontId="13" fillId="44" borderId="30" xfId="0" applyFont="1" applyFill="1" applyBorder="1" applyAlignment="1" applyProtection="1">
      <alignment horizontal="center" vertical="center"/>
      <protection/>
    </xf>
    <xf numFmtId="0" fontId="13" fillId="44" borderId="108" xfId="0" applyFont="1" applyFill="1" applyBorder="1" applyAlignment="1" applyProtection="1">
      <alignment horizontal="center" vertical="center"/>
      <protection/>
    </xf>
    <xf numFmtId="0" fontId="13" fillId="44" borderId="30" xfId="0" applyFont="1" applyFill="1" applyBorder="1" applyAlignment="1" applyProtection="1">
      <alignment horizontal="center" vertical="center" wrapText="1"/>
      <protection/>
    </xf>
    <xf numFmtId="0" fontId="13" fillId="44" borderId="108" xfId="0" applyFont="1" applyFill="1" applyBorder="1" applyAlignment="1" applyProtection="1">
      <alignment horizontal="center" vertical="center" wrapText="1"/>
      <protection/>
    </xf>
    <xf numFmtId="0" fontId="18" fillId="44" borderId="85" xfId="0" applyFont="1" applyFill="1" applyBorder="1" applyAlignment="1" applyProtection="1">
      <alignment horizontal="center" vertical="center"/>
      <protection/>
    </xf>
    <xf numFmtId="0" fontId="18" fillId="44" borderId="68" xfId="0" applyFont="1" applyFill="1" applyBorder="1" applyAlignment="1" applyProtection="1">
      <alignment horizontal="center" vertical="center"/>
      <protection/>
    </xf>
    <xf numFmtId="0" fontId="10" fillId="56" borderId="87" xfId="0" applyFont="1" applyFill="1" applyBorder="1" applyAlignment="1" applyProtection="1">
      <alignment horizontal="center" vertical="center"/>
      <protection/>
    </xf>
    <xf numFmtId="0" fontId="10" fillId="56" borderId="122" xfId="0" applyFont="1" applyFill="1" applyBorder="1" applyAlignment="1" applyProtection="1">
      <alignment horizontal="center" vertical="center"/>
      <protection/>
    </xf>
    <xf numFmtId="0" fontId="19" fillId="47" borderId="34" xfId="0" applyFont="1" applyFill="1" applyBorder="1" applyAlignment="1" applyProtection="1">
      <alignment horizontal="left" vertical="center" wrapText="1"/>
      <protection locked="0"/>
    </xf>
    <xf numFmtId="0" fontId="19" fillId="47" borderId="35" xfId="0" applyFont="1" applyFill="1" applyBorder="1" applyAlignment="1" applyProtection="1">
      <alignment horizontal="left" vertical="center" wrapText="1"/>
      <protection locked="0"/>
    </xf>
    <xf numFmtId="0" fontId="19" fillId="47" borderId="33" xfId="0" applyFont="1" applyFill="1" applyBorder="1" applyAlignment="1" applyProtection="1">
      <alignment horizontal="left" vertical="center" wrapText="1"/>
      <protection locked="0"/>
    </xf>
    <xf numFmtId="0" fontId="19" fillId="47" borderId="36" xfId="0" applyFont="1" applyFill="1" applyBorder="1" applyAlignment="1" applyProtection="1">
      <alignment horizontal="left" vertical="center" wrapText="1"/>
      <protection locked="0"/>
    </xf>
    <xf numFmtId="0" fontId="19" fillId="47" borderId="129" xfId="0" applyFont="1" applyFill="1" applyBorder="1" applyAlignment="1" applyProtection="1">
      <alignment horizontal="left" vertical="center" wrapText="1"/>
      <protection locked="0"/>
    </xf>
    <xf numFmtId="0" fontId="19" fillId="47" borderId="7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73" fillId="0" borderId="0" xfId="0" applyFont="1" applyBorder="1" applyAlignment="1" applyProtection="1">
      <alignment horizontal="center" vertical="center" wrapText="1"/>
      <protection/>
    </xf>
    <xf numFmtId="0" fontId="11" fillId="44" borderId="20" xfId="0" applyFont="1" applyFill="1" applyBorder="1" applyAlignment="1" applyProtection="1">
      <alignment horizontal="center" vertical="center" wrapText="1"/>
      <protection/>
    </xf>
    <xf numFmtId="0" fontId="19" fillId="14" borderId="36" xfId="0" applyFont="1" applyFill="1" applyBorder="1" applyAlignment="1" applyProtection="1">
      <alignment horizontal="center" vertical="center" textRotation="90" wrapText="1"/>
      <protection/>
    </xf>
    <xf numFmtId="0" fontId="19" fillId="14" borderId="129" xfId="0" applyFont="1" applyFill="1" applyBorder="1" applyAlignment="1" applyProtection="1">
      <alignment horizontal="center" vertical="center" textRotation="90" wrapText="1"/>
      <protection/>
    </xf>
    <xf numFmtId="0" fontId="19" fillId="14" borderId="70" xfId="0" applyFont="1" applyFill="1" applyBorder="1" applyAlignment="1" applyProtection="1">
      <alignment horizontal="center" vertical="center" textRotation="90" wrapText="1"/>
      <protection/>
    </xf>
    <xf numFmtId="0" fontId="19" fillId="14" borderId="36" xfId="0" applyFont="1" applyFill="1" applyBorder="1" applyAlignment="1" applyProtection="1">
      <alignment horizontal="left" vertical="center" wrapText="1"/>
      <protection/>
    </xf>
    <xf numFmtId="0" fontId="19" fillId="14" borderId="129" xfId="0" applyFont="1" applyFill="1" applyBorder="1" applyAlignment="1" applyProtection="1">
      <alignment horizontal="left" vertical="center" wrapText="1"/>
      <protection/>
    </xf>
    <xf numFmtId="0" fontId="19" fillId="14" borderId="70" xfId="0" applyFont="1" applyFill="1" applyBorder="1" applyAlignment="1" applyProtection="1">
      <alignment horizontal="left" vertical="center" wrapText="1"/>
      <protection/>
    </xf>
    <xf numFmtId="0" fontId="73" fillId="0" borderId="0" xfId="0" applyFont="1" applyBorder="1" applyAlignment="1" applyProtection="1">
      <alignment horizontal="center" vertical="center"/>
      <protection/>
    </xf>
    <xf numFmtId="0" fontId="13" fillId="61" borderId="94" xfId="0" applyFont="1" applyFill="1" applyBorder="1" applyAlignment="1" applyProtection="1">
      <alignment horizontal="center" vertical="center" wrapText="1"/>
      <protection/>
    </xf>
    <xf numFmtId="0" fontId="13" fillId="61" borderId="78" xfId="0" applyFont="1" applyFill="1" applyBorder="1" applyAlignment="1" applyProtection="1">
      <alignment horizontal="center" vertical="center" wrapText="1"/>
      <protection/>
    </xf>
    <xf numFmtId="0" fontId="11" fillId="39" borderId="94" xfId="0" applyFont="1" applyFill="1" applyBorder="1" applyAlignment="1" applyProtection="1">
      <alignment horizontal="center" vertical="center" wrapText="1"/>
      <protection/>
    </xf>
    <xf numFmtId="0" fontId="11" fillId="39" borderId="78" xfId="0" applyFont="1" applyFill="1" applyBorder="1" applyAlignment="1" applyProtection="1">
      <alignment horizontal="center" vertical="center" wrapText="1"/>
      <protection/>
    </xf>
    <xf numFmtId="0" fontId="13" fillId="9" borderId="36" xfId="0" applyFont="1" applyFill="1" applyBorder="1" applyAlignment="1" applyProtection="1">
      <alignment horizontal="center" vertical="center" wrapText="1"/>
      <protection/>
    </xf>
    <xf numFmtId="0" fontId="13" fillId="9" borderId="70" xfId="0" applyFont="1" applyFill="1" applyBorder="1" applyAlignment="1" applyProtection="1">
      <alignment horizontal="center" vertical="center" wrapText="1"/>
      <protection/>
    </xf>
    <xf numFmtId="0" fontId="69" fillId="55" borderId="68" xfId="0" applyFont="1" applyFill="1" applyBorder="1" applyAlignment="1" applyProtection="1">
      <alignment horizontal="center" vertical="center"/>
      <protection/>
    </xf>
    <xf numFmtId="0" fontId="20" fillId="14" borderId="60" xfId="0" applyFont="1" applyFill="1" applyBorder="1" applyAlignment="1" applyProtection="1">
      <alignment horizontal="center" vertical="center" textRotation="90" wrapText="1"/>
      <protection/>
    </xf>
    <xf numFmtId="0" fontId="20" fillId="14" borderId="62" xfId="0" applyFont="1" applyFill="1" applyBorder="1" applyAlignment="1" applyProtection="1">
      <alignment horizontal="center" vertical="center" textRotation="90" wrapText="1"/>
      <protection/>
    </xf>
    <xf numFmtId="0" fontId="20" fillId="14" borderId="67" xfId="0" applyFont="1" applyFill="1" applyBorder="1" applyAlignment="1" applyProtection="1">
      <alignment horizontal="center" vertical="center" textRotation="90" wrapText="1"/>
      <protection/>
    </xf>
    <xf numFmtId="0" fontId="19" fillId="47" borderId="47" xfId="0" applyFont="1" applyFill="1" applyBorder="1" applyAlignment="1" applyProtection="1">
      <alignment horizontal="center" vertical="center"/>
      <protection locked="0"/>
    </xf>
    <xf numFmtId="0" fontId="19" fillId="47" borderId="52" xfId="0" applyFont="1" applyFill="1" applyBorder="1" applyAlignment="1" applyProtection="1">
      <alignment horizontal="center" vertical="center"/>
      <protection locked="0"/>
    </xf>
    <xf numFmtId="182" fontId="19" fillId="61" borderId="39" xfId="0" applyNumberFormat="1" applyFont="1" applyFill="1" applyBorder="1" applyAlignment="1" applyProtection="1">
      <alignment horizontal="center" vertical="center" wrapText="1"/>
      <protection/>
    </xf>
    <xf numFmtId="182" fontId="19" fillId="61" borderId="77" xfId="0" applyNumberFormat="1" applyFont="1" applyFill="1" applyBorder="1" applyAlignment="1" applyProtection="1">
      <alignment horizontal="center" vertical="center" wrapText="1"/>
      <protection/>
    </xf>
    <xf numFmtId="182" fontId="19" fillId="61" borderId="53" xfId="0" applyNumberFormat="1" applyFont="1" applyFill="1" applyBorder="1" applyAlignment="1" applyProtection="1">
      <alignment horizontal="center" vertical="center" wrapText="1"/>
      <protection/>
    </xf>
    <xf numFmtId="0" fontId="19" fillId="44" borderId="39" xfId="0" applyFont="1" applyFill="1" applyBorder="1" applyAlignment="1" applyProtection="1">
      <alignment horizontal="center" vertical="center"/>
      <protection/>
    </xf>
    <xf numFmtId="0" fontId="19" fillId="44" borderId="77" xfId="0" applyFont="1" applyFill="1" applyBorder="1" applyAlignment="1" applyProtection="1">
      <alignment horizontal="center" vertical="center"/>
      <protection/>
    </xf>
    <xf numFmtId="0" fontId="19" fillId="44" borderId="53" xfId="0" applyFont="1" applyFill="1" applyBorder="1" applyAlignment="1" applyProtection="1">
      <alignment horizontal="center" vertical="center"/>
      <protection/>
    </xf>
    <xf numFmtId="182" fontId="78" fillId="78" borderId="39" xfId="0" applyNumberFormat="1" applyFont="1" applyFill="1" applyBorder="1" applyAlignment="1" applyProtection="1">
      <alignment horizontal="center" vertical="center" wrapText="1"/>
      <protection/>
    </xf>
    <xf numFmtId="0" fontId="73" fillId="0" borderId="0" xfId="0" applyFont="1" applyBorder="1" applyAlignment="1" applyProtection="1">
      <alignment horizontal="left" vertical="center" indent="2"/>
      <protection/>
    </xf>
    <xf numFmtId="0" fontId="13" fillId="39" borderId="39" xfId="0" applyFont="1" applyFill="1" applyBorder="1" applyAlignment="1" applyProtection="1">
      <alignment horizontal="center" vertical="center" wrapText="1"/>
      <protection/>
    </xf>
    <xf numFmtId="0" fontId="13" fillId="39" borderId="63" xfId="0" applyFont="1" applyFill="1" applyBorder="1" applyAlignment="1" applyProtection="1">
      <alignment horizontal="center" vertical="center" wrapText="1"/>
      <protection/>
    </xf>
    <xf numFmtId="0" fontId="13" fillId="39" borderId="32" xfId="0" applyFont="1" applyFill="1" applyBorder="1" applyAlignment="1" applyProtection="1">
      <alignment horizontal="center" vertical="center" wrapText="1"/>
      <protection/>
    </xf>
    <xf numFmtId="0" fontId="13" fillId="39" borderId="95" xfId="0" applyFont="1" applyFill="1" applyBorder="1" applyAlignment="1" applyProtection="1">
      <alignment horizontal="center" vertical="center" wrapText="1"/>
      <protection/>
    </xf>
    <xf numFmtId="0" fontId="19" fillId="0" borderId="39" xfId="0" applyFont="1" applyFill="1" applyBorder="1" applyAlignment="1" applyProtection="1">
      <alignment horizontal="left" vertical="center" wrapText="1"/>
      <protection/>
    </xf>
    <xf numFmtId="0" fontId="19" fillId="0" borderId="48" xfId="0" applyFont="1" applyFill="1" applyBorder="1" applyAlignment="1" applyProtection="1">
      <alignment horizontal="left" vertical="center" wrapText="1"/>
      <protection/>
    </xf>
    <xf numFmtId="0" fontId="19" fillId="0" borderId="44" xfId="0" applyFont="1" applyFill="1" applyBorder="1" applyAlignment="1" applyProtection="1">
      <alignment horizontal="left" vertical="center" wrapText="1"/>
      <protection/>
    </xf>
    <xf numFmtId="191" fontId="19" fillId="45" borderId="129" xfId="0" applyNumberFormat="1" applyFont="1" applyFill="1" applyBorder="1" applyAlignment="1" applyProtection="1">
      <alignment horizontal="right" vertical="center"/>
      <protection/>
    </xf>
    <xf numFmtId="191" fontId="19" fillId="45" borderId="70" xfId="0" applyNumberFormat="1" applyFont="1" applyFill="1" applyBorder="1" applyAlignment="1" applyProtection="1">
      <alignment horizontal="right" vertical="center"/>
      <protection/>
    </xf>
    <xf numFmtId="0" fontId="13" fillId="9" borderId="129" xfId="0" applyFont="1" applyFill="1" applyBorder="1" applyAlignment="1" applyProtection="1">
      <alignment horizontal="center" vertical="center" wrapText="1"/>
      <protection/>
    </xf>
    <xf numFmtId="0" fontId="13" fillId="44" borderId="129" xfId="0" applyFont="1" applyFill="1" applyBorder="1" applyAlignment="1" applyProtection="1">
      <alignment horizontal="center" vertical="center" wrapText="1"/>
      <protection/>
    </xf>
    <xf numFmtId="0" fontId="13" fillId="44" borderId="26" xfId="0" applyFont="1" applyFill="1" applyBorder="1" applyAlignment="1" applyProtection="1">
      <alignment horizontal="center" vertical="center"/>
      <protection/>
    </xf>
    <xf numFmtId="0" fontId="13" fillId="44" borderId="73" xfId="0" applyFont="1" applyFill="1" applyBorder="1" applyAlignment="1" applyProtection="1">
      <alignment horizontal="center" vertical="center"/>
      <protection/>
    </xf>
    <xf numFmtId="0" fontId="13" fillId="44" borderId="78" xfId="0" applyFont="1" applyFill="1" applyBorder="1" applyAlignment="1" applyProtection="1">
      <alignment horizontal="center" vertical="center"/>
      <protection/>
    </xf>
    <xf numFmtId="0" fontId="13" fillId="44" borderId="94" xfId="0" applyFont="1" applyFill="1" applyBorder="1" applyAlignment="1" applyProtection="1">
      <alignment horizontal="center" vertical="center"/>
      <protection/>
    </xf>
    <xf numFmtId="0" fontId="13" fillId="44" borderId="78" xfId="0" applyFont="1" applyFill="1" applyBorder="1" applyAlignment="1" applyProtection="1">
      <alignment horizontal="center" vertical="center" wrapText="1"/>
      <protection/>
    </xf>
    <xf numFmtId="0" fontId="13" fillId="44" borderId="94" xfId="0" applyFont="1" applyFill="1" applyBorder="1" applyAlignment="1" applyProtection="1">
      <alignment horizontal="center" vertical="center" wrapText="1"/>
      <protection/>
    </xf>
    <xf numFmtId="0" fontId="13" fillId="44" borderId="79" xfId="0" applyFont="1" applyFill="1" applyBorder="1" applyAlignment="1" applyProtection="1">
      <alignment horizontal="center" vertical="center" wrapText="1"/>
      <protection/>
    </xf>
    <xf numFmtId="0" fontId="13" fillId="44" borderId="95" xfId="0" applyFont="1" applyFill="1" applyBorder="1" applyAlignment="1" applyProtection="1">
      <alignment horizontal="center" vertical="center" wrapText="1"/>
      <protection/>
    </xf>
    <xf numFmtId="0" fontId="69" fillId="0" borderId="0" xfId="0" applyFont="1" applyFill="1" applyBorder="1" applyAlignment="1" applyProtection="1">
      <alignment horizontal="center" vertical="center"/>
      <protection/>
    </xf>
    <xf numFmtId="0" fontId="19" fillId="41" borderId="36" xfId="0" applyFont="1" applyFill="1" applyBorder="1" applyAlignment="1" applyProtection="1">
      <alignment horizontal="center" vertical="center" wrapText="1"/>
      <protection/>
    </xf>
    <xf numFmtId="0" fontId="19" fillId="41" borderId="129" xfId="0" applyFont="1" applyFill="1" applyBorder="1" applyAlignment="1" applyProtection="1">
      <alignment horizontal="center" vertical="center" wrapText="1"/>
      <protection/>
    </xf>
    <xf numFmtId="191" fontId="19" fillId="45" borderId="36" xfId="0" applyNumberFormat="1" applyFont="1" applyFill="1" applyBorder="1" applyAlignment="1" applyProtection="1">
      <alignment horizontal="right" vertical="center"/>
      <protection/>
    </xf>
    <xf numFmtId="0" fontId="13" fillId="44" borderId="31" xfId="0" applyFont="1" applyFill="1" applyBorder="1" applyAlignment="1" applyProtection="1">
      <alignment horizontal="center" vertical="center" wrapText="1"/>
      <protection/>
    </xf>
    <xf numFmtId="0" fontId="13" fillId="44" borderId="124" xfId="0" applyFont="1" applyFill="1" applyBorder="1" applyAlignment="1" applyProtection="1">
      <alignment horizontal="center" vertical="center" wrapText="1"/>
      <protection/>
    </xf>
    <xf numFmtId="0" fontId="13" fillId="44" borderId="38" xfId="0" applyFont="1" applyFill="1" applyBorder="1" applyAlignment="1" applyProtection="1">
      <alignment horizontal="center" vertical="center"/>
      <protection/>
    </xf>
    <xf numFmtId="0" fontId="13" fillId="44" borderId="143" xfId="0" applyFont="1" applyFill="1" applyBorder="1" applyAlignment="1" applyProtection="1">
      <alignment horizontal="center" vertical="center"/>
      <protection/>
    </xf>
    <xf numFmtId="0" fontId="19" fillId="41" borderId="70" xfId="0" applyFont="1" applyFill="1" applyBorder="1" applyAlignment="1" applyProtection="1">
      <alignment horizontal="center" vertical="center" wrapText="1"/>
      <protection/>
    </xf>
    <xf numFmtId="0" fontId="19" fillId="41" borderId="58" xfId="0" applyFont="1" applyFill="1" applyBorder="1" applyAlignment="1" applyProtection="1">
      <alignment horizontal="center" vertical="center" wrapText="1"/>
      <protection/>
    </xf>
    <xf numFmtId="0" fontId="19" fillId="41" borderId="61" xfId="0" applyFont="1" applyFill="1" applyBorder="1" applyAlignment="1" applyProtection="1">
      <alignment horizontal="center" vertical="center" wrapText="1"/>
      <protection/>
    </xf>
    <xf numFmtId="0" fontId="19" fillId="41" borderId="65" xfId="0" applyFont="1" applyFill="1" applyBorder="1" applyAlignment="1" applyProtection="1">
      <alignment horizontal="center" vertical="center" wrapText="1"/>
      <protection/>
    </xf>
    <xf numFmtId="191" fontId="19" fillId="45" borderId="60" xfId="0" applyNumberFormat="1" applyFont="1" applyFill="1" applyBorder="1" applyAlignment="1" applyProtection="1">
      <alignment horizontal="right" vertical="center"/>
      <protection/>
    </xf>
    <xf numFmtId="191" fontId="19" fillId="45" borderId="62" xfId="0" applyNumberFormat="1" applyFont="1" applyFill="1" applyBorder="1" applyAlignment="1" applyProtection="1">
      <alignment horizontal="right" vertical="center"/>
      <protection/>
    </xf>
    <xf numFmtId="191" fontId="19" fillId="45" borderId="67" xfId="0" applyNumberFormat="1" applyFont="1" applyFill="1" applyBorder="1" applyAlignment="1" applyProtection="1">
      <alignment horizontal="right" vertical="center"/>
      <protection/>
    </xf>
    <xf numFmtId="0" fontId="13" fillId="44" borderId="60" xfId="0" applyFont="1" applyFill="1" applyBorder="1" applyAlignment="1" applyProtection="1">
      <alignment horizontal="center" vertical="center" wrapText="1"/>
      <protection/>
    </xf>
    <xf numFmtId="0" fontId="13" fillId="44" borderId="62" xfId="0" applyFont="1" applyFill="1" applyBorder="1" applyAlignment="1" applyProtection="1">
      <alignment horizontal="center" vertical="center" wrapText="1"/>
      <protection/>
    </xf>
    <xf numFmtId="0" fontId="19" fillId="39" borderId="149" xfId="0" applyFont="1" applyFill="1" applyBorder="1" applyAlignment="1" applyProtection="1">
      <alignment horizontal="center" vertical="center" wrapText="1"/>
      <protection/>
    </xf>
    <xf numFmtId="0" fontId="19" fillId="39" borderId="150" xfId="0" applyFont="1" applyFill="1" applyBorder="1" applyAlignment="1" applyProtection="1">
      <alignment horizontal="center" vertical="center" wrapText="1"/>
      <protection/>
    </xf>
    <xf numFmtId="0" fontId="13" fillId="44" borderId="151" xfId="0" applyFont="1" applyFill="1" applyBorder="1" applyAlignment="1" applyProtection="1">
      <alignment horizontal="center" vertical="center" wrapText="1"/>
      <protection/>
    </xf>
    <xf numFmtId="0" fontId="13" fillId="44" borderId="152" xfId="0" applyFont="1" applyFill="1" applyBorder="1" applyAlignment="1" applyProtection="1">
      <alignment horizontal="center" vertical="center" wrapText="1"/>
      <protection/>
    </xf>
    <xf numFmtId="0" fontId="19" fillId="47" borderId="11" xfId="0" applyFont="1" applyFill="1" applyBorder="1" applyAlignment="1" applyProtection="1">
      <alignment horizontal="center" vertical="center"/>
      <protection locked="0"/>
    </xf>
    <xf numFmtId="0" fontId="19" fillId="47" borderId="21" xfId="0" applyFont="1" applyFill="1" applyBorder="1" applyAlignment="1" applyProtection="1">
      <alignment horizontal="center" vertical="center"/>
      <protection locked="0"/>
    </xf>
    <xf numFmtId="0" fontId="19" fillId="47" borderId="15" xfId="0" applyFont="1" applyFill="1" applyBorder="1" applyAlignment="1" applyProtection="1">
      <alignment horizontal="center" vertical="center"/>
      <protection locked="0"/>
    </xf>
    <xf numFmtId="0" fontId="13" fillId="44" borderId="153" xfId="0" applyFont="1" applyFill="1" applyBorder="1" applyAlignment="1" applyProtection="1">
      <alignment horizontal="center" vertical="center"/>
      <protection/>
    </xf>
    <xf numFmtId="0" fontId="13" fillId="44" borderId="154" xfId="0" applyFont="1" applyFill="1" applyBorder="1" applyAlignment="1" applyProtection="1">
      <alignment horizontal="center" vertical="center"/>
      <protection/>
    </xf>
    <xf numFmtId="0" fontId="0" fillId="84" borderId="95" xfId="0" applyFont="1" applyFill="1" applyBorder="1" applyAlignment="1" applyProtection="1">
      <alignment horizontal="left" vertical="center" wrapText="1"/>
      <protection/>
    </xf>
    <xf numFmtId="0" fontId="0" fillId="84" borderId="107" xfId="0" applyFont="1" applyFill="1" applyBorder="1" applyAlignment="1" applyProtection="1">
      <alignment horizontal="left" vertical="center" wrapText="1"/>
      <protection/>
    </xf>
    <xf numFmtId="0" fontId="0" fillId="84" borderId="73" xfId="0" applyFont="1" applyFill="1" applyBorder="1" applyAlignment="1" applyProtection="1">
      <alignment horizontal="left" vertical="center" wrapText="1"/>
      <protection/>
    </xf>
    <xf numFmtId="0" fontId="0" fillId="84" borderId="124" xfId="0" applyFont="1" applyFill="1" applyBorder="1" applyAlignment="1" applyProtection="1">
      <alignment horizontal="left" vertical="center" wrapText="1"/>
      <protection/>
    </xf>
    <xf numFmtId="0" fontId="0" fillId="84" borderId="0" xfId="0" applyFont="1" applyFill="1" applyBorder="1" applyAlignment="1" applyProtection="1">
      <alignment horizontal="left" vertical="center" wrapText="1"/>
      <protection/>
    </xf>
    <xf numFmtId="0" fontId="0" fillId="84" borderId="143" xfId="0" applyFont="1" applyFill="1" applyBorder="1" applyAlignment="1" applyProtection="1">
      <alignment horizontal="left" vertical="center" wrapText="1"/>
      <protection/>
    </xf>
    <xf numFmtId="0" fontId="0" fillId="84" borderId="79" xfId="0" applyFont="1" applyFill="1" applyBorder="1" applyAlignment="1" applyProtection="1">
      <alignment horizontal="left" vertical="center" wrapText="1"/>
      <protection/>
    </xf>
    <xf numFmtId="0" fontId="0" fillId="84" borderId="100" xfId="0" applyFont="1" applyFill="1" applyBorder="1" applyAlignment="1" applyProtection="1">
      <alignment horizontal="left" vertical="center" wrapText="1"/>
      <protection/>
    </xf>
    <xf numFmtId="0" fontId="0" fillId="84" borderId="26" xfId="0" applyFont="1" applyFill="1" applyBorder="1" applyAlignment="1" applyProtection="1">
      <alignment horizontal="left" vertical="center" wrapText="1"/>
      <protection/>
    </xf>
    <xf numFmtId="182" fontId="13" fillId="61" borderId="155" xfId="0" applyNumberFormat="1" applyFont="1" applyFill="1" applyBorder="1" applyAlignment="1" applyProtection="1">
      <alignment horizontal="center" vertical="center" wrapText="1"/>
      <protection/>
    </xf>
    <xf numFmtId="182" fontId="13" fillId="61" borderId="135" xfId="0" applyNumberFormat="1" applyFont="1" applyFill="1" applyBorder="1" applyAlignment="1" applyProtection="1">
      <alignment horizontal="center" vertical="center" wrapText="1"/>
      <protection/>
    </xf>
    <xf numFmtId="182" fontId="13" fillId="61" borderId="114" xfId="0" applyNumberFormat="1" applyFont="1" applyFill="1" applyBorder="1" applyAlignment="1" applyProtection="1">
      <alignment horizontal="center" vertical="center" wrapText="1"/>
      <protection/>
    </xf>
    <xf numFmtId="0" fontId="13" fillId="44" borderId="39" xfId="0" applyFont="1" applyFill="1" applyBorder="1" applyAlignment="1" applyProtection="1">
      <alignment horizontal="center" vertical="center"/>
      <protection/>
    </xf>
    <xf numFmtId="0" fontId="13" fillId="44" borderId="53" xfId="0" applyFont="1" applyFill="1" applyBorder="1" applyAlignment="1" applyProtection="1">
      <alignment horizontal="center" vertical="center"/>
      <protection/>
    </xf>
    <xf numFmtId="0" fontId="13" fillId="44" borderId="51" xfId="0" applyFont="1" applyFill="1" applyBorder="1" applyAlignment="1" applyProtection="1">
      <alignment horizontal="center" vertical="center"/>
      <protection/>
    </xf>
    <xf numFmtId="0" fontId="18" fillId="0" borderId="156" xfId="0" applyFont="1" applyFill="1" applyBorder="1" applyAlignment="1" applyProtection="1">
      <alignment horizontal="center" vertical="center" wrapText="1"/>
      <protection/>
    </xf>
    <xf numFmtId="0" fontId="18" fillId="0" borderId="157" xfId="0" applyFont="1" applyFill="1" applyBorder="1" applyAlignment="1" applyProtection="1">
      <alignment horizontal="center" vertical="center" wrapText="1"/>
      <protection/>
    </xf>
    <xf numFmtId="0" fontId="18" fillId="0" borderId="158" xfId="0" applyFont="1" applyFill="1" applyBorder="1" applyAlignment="1" applyProtection="1">
      <alignment horizontal="center" vertical="center" wrapText="1"/>
      <protection/>
    </xf>
    <xf numFmtId="0" fontId="19" fillId="39" borderId="134" xfId="0" applyFont="1" applyFill="1" applyBorder="1" applyAlignment="1" applyProtection="1">
      <alignment horizontal="center" vertical="center" wrapText="1"/>
      <protection/>
    </xf>
    <xf numFmtId="0" fontId="19" fillId="39" borderId="156" xfId="0" applyFont="1" applyFill="1" applyBorder="1" applyAlignment="1" applyProtection="1">
      <alignment horizontal="center" vertical="center" wrapText="1"/>
      <protection/>
    </xf>
    <xf numFmtId="0" fontId="13" fillId="44" borderId="159" xfId="0" applyFont="1" applyFill="1" applyBorder="1" applyAlignment="1" applyProtection="1">
      <alignment horizontal="center" vertical="center"/>
      <protection/>
    </xf>
    <xf numFmtId="0" fontId="13" fillId="44" borderId="91" xfId="0" applyFont="1" applyFill="1" applyBorder="1" applyAlignment="1" applyProtection="1">
      <alignment horizontal="center" vertical="center"/>
      <protection/>
    </xf>
    <xf numFmtId="0" fontId="73" fillId="0" borderId="0" xfId="0" applyFont="1" applyAlignment="1">
      <alignment horizontal="left" vertical="center" indent="2"/>
    </xf>
    <xf numFmtId="0" fontId="13" fillId="44" borderId="85" xfId="0" applyFont="1" applyFill="1" applyBorder="1" applyAlignment="1" applyProtection="1">
      <alignment horizontal="center" vertical="center" wrapText="1"/>
      <protection/>
    </xf>
    <xf numFmtId="0" fontId="13" fillId="9" borderId="34" xfId="0" applyFont="1" applyFill="1" applyBorder="1" applyAlignment="1" applyProtection="1">
      <alignment horizontal="center" vertical="center" wrapText="1"/>
      <protection/>
    </xf>
    <xf numFmtId="0" fontId="13" fillId="44" borderId="51" xfId="0" applyFont="1" applyFill="1" applyBorder="1" applyAlignment="1" applyProtection="1">
      <alignment horizontal="center" vertical="center" wrapText="1"/>
      <protection/>
    </xf>
    <xf numFmtId="0" fontId="13" fillId="44" borderId="77" xfId="0" applyFont="1" applyFill="1" applyBorder="1" applyAlignment="1" applyProtection="1">
      <alignment horizontal="center" vertical="center" wrapText="1"/>
      <protection/>
    </xf>
    <xf numFmtId="0" fontId="13" fillId="9" borderId="60" xfId="0" applyFont="1" applyFill="1" applyBorder="1" applyAlignment="1" applyProtection="1">
      <alignment horizontal="center" vertical="center" wrapText="1"/>
      <protection/>
    </xf>
    <xf numFmtId="0" fontId="13" fillId="44" borderId="87" xfId="0" applyFont="1" applyFill="1" applyBorder="1" applyAlignment="1" applyProtection="1">
      <alignment horizontal="center" vertical="center" wrapText="1"/>
      <protection/>
    </xf>
    <xf numFmtId="0" fontId="13" fillId="9" borderId="33" xfId="0" applyFont="1" applyFill="1" applyBorder="1" applyAlignment="1" applyProtection="1">
      <alignment horizontal="center" vertical="center" wrapText="1"/>
      <protection/>
    </xf>
    <xf numFmtId="0" fontId="13" fillId="44" borderId="50" xfId="0" applyFont="1" applyFill="1" applyBorder="1" applyAlignment="1" applyProtection="1">
      <alignment horizontal="center" vertical="center" wrapText="1"/>
      <protection/>
    </xf>
    <xf numFmtId="0" fontId="13" fillId="44" borderId="71" xfId="0" applyFont="1" applyFill="1" applyBorder="1" applyAlignment="1" applyProtection="1">
      <alignment horizontal="center" vertical="center" wrapText="1"/>
      <protection/>
    </xf>
    <xf numFmtId="0" fontId="13" fillId="9" borderId="67" xfId="0" applyFont="1" applyFill="1" applyBorder="1" applyAlignment="1" applyProtection="1">
      <alignment horizontal="center" vertical="center" wrapText="1"/>
      <protection/>
    </xf>
    <xf numFmtId="0" fontId="13" fillId="44" borderId="110" xfId="0" applyFont="1" applyFill="1" applyBorder="1" applyAlignment="1" applyProtection="1">
      <alignment horizontal="center" vertical="center" wrapText="1"/>
      <protection/>
    </xf>
    <xf numFmtId="0" fontId="13" fillId="9" borderId="37" xfId="0" applyFont="1" applyFill="1" applyBorder="1" applyAlignment="1" applyProtection="1">
      <alignment horizontal="center" vertical="center" wrapText="1"/>
      <protection/>
    </xf>
    <xf numFmtId="0" fontId="13" fillId="44" borderId="73" xfId="0" applyFont="1" applyFill="1" applyBorder="1" applyAlignment="1" applyProtection="1">
      <alignment horizontal="center" vertical="center" wrapText="1"/>
      <protection/>
    </xf>
  </cellXfs>
  <cellStyles count="7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o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" xfId="51"/>
    <cellStyle name="Euro" xfId="52"/>
    <cellStyle name="Euro 2" xfId="53"/>
    <cellStyle name="Euro 3" xfId="54"/>
    <cellStyle name="Footnote" xfId="55"/>
    <cellStyle name="Good" xfId="56"/>
    <cellStyle name="Heading" xfId="57"/>
    <cellStyle name="Heading 1" xfId="58"/>
    <cellStyle name="Heading 2" xfId="59"/>
    <cellStyle name="Hyperlink" xfId="60"/>
    <cellStyle name="Incorrecto" xfId="61"/>
    <cellStyle name="Comma" xfId="62"/>
    <cellStyle name="Comma [0]" xfId="63"/>
    <cellStyle name="Millares 2" xfId="64"/>
    <cellStyle name="Millares 3" xfId="65"/>
    <cellStyle name="Currency" xfId="66"/>
    <cellStyle name="Currency [0]" xfId="67"/>
    <cellStyle name="Moneda [0] 2" xfId="68"/>
    <cellStyle name="Moneda 2" xfId="69"/>
    <cellStyle name="Moneda 3" xfId="70"/>
    <cellStyle name="Neutral" xfId="71"/>
    <cellStyle name="Normal 2" xfId="72"/>
    <cellStyle name="Normal 3" xfId="73"/>
    <cellStyle name="Normal 4" xfId="74"/>
    <cellStyle name="Normal 5" xfId="75"/>
    <cellStyle name="Normal_Hoja1 2" xfId="76"/>
    <cellStyle name="Notas" xfId="77"/>
    <cellStyle name="Note" xfId="78"/>
    <cellStyle name="Percent" xfId="79"/>
    <cellStyle name="Porcentaje 2" xfId="80"/>
    <cellStyle name="Salida" xfId="81"/>
    <cellStyle name="Status" xfId="82"/>
    <cellStyle name="Text" xfId="83"/>
    <cellStyle name="Texto de advertencia" xfId="84"/>
    <cellStyle name="Texto explicativo" xfId="85"/>
    <cellStyle name="Título" xfId="86"/>
    <cellStyle name="Título 2" xfId="87"/>
    <cellStyle name="Título 3" xfId="88"/>
    <cellStyle name="Total" xfId="89"/>
    <cellStyle name="Warning" xfId="90"/>
  </cellStyles>
  <dxfs count="3">
    <dxf>
      <font>
        <color rgb="FF9C0006"/>
      </font>
    </dxf>
    <dxf>
      <fill>
        <patternFill>
          <bgColor theme="0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AC090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B) Reajuste Tarifas y Ocupaci&#243;n'!A32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D) Costos Indirectos'!M9" /><Relationship Id="rId2" Type="http://schemas.openxmlformats.org/officeDocument/2006/relationships/hyperlink" Target="#'D) Costos Indirectos'!U9" /><Relationship Id="rId3" Type="http://schemas.openxmlformats.org/officeDocument/2006/relationships/hyperlink" Target="#'D) Costos Indirectos'!Z9" /><Relationship Id="rId4" Type="http://schemas.openxmlformats.org/officeDocument/2006/relationships/hyperlink" Target="#'D) Costos Indirectos'!AG9" /><Relationship Id="rId5" Type="http://schemas.openxmlformats.org/officeDocument/2006/relationships/hyperlink" Target="#'D) Costos Indirectos'!A1" /><Relationship Id="rId6" Type="http://schemas.openxmlformats.org/officeDocument/2006/relationships/hyperlink" Target="#'D) Costos Indirectos'!A1" /><Relationship Id="rId7" Type="http://schemas.openxmlformats.org/officeDocument/2006/relationships/hyperlink" Target="#'D) Costos Indirectos'!A1" /><Relationship Id="rId8" Type="http://schemas.openxmlformats.org/officeDocument/2006/relationships/hyperlink" Target="#'D) Costos Indirectos'!A1" /><Relationship Id="rId9" Type="http://schemas.openxmlformats.org/officeDocument/2006/relationships/hyperlink" Target="#'D) Costos Indirectos'!AN9" /><Relationship Id="rId10" Type="http://schemas.openxmlformats.org/officeDocument/2006/relationships/hyperlink" Target="#'D) Costos Indirectos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133350</xdr:rowOff>
    </xdr:from>
    <xdr:to>
      <xdr:col>8</xdr:col>
      <xdr:colOff>295275</xdr:colOff>
      <xdr:row>5</xdr:row>
      <xdr:rowOff>47625</xdr:rowOff>
    </xdr:to>
    <xdr:sp>
      <xdr:nvSpPr>
        <xdr:cNvPr id="1" name="CuadroTexto 11"/>
        <xdr:cNvSpPr txBox="1">
          <a:spLocks noChangeArrowheads="1"/>
        </xdr:cNvSpPr>
      </xdr:nvSpPr>
      <xdr:spPr>
        <a:xfrm>
          <a:off x="285750" y="619125"/>
          <a:ext cx="6105525" cy="238125"/>
        </a:xfrm>
        <a:prstGeom prst="rect">
          <a:avLst/>
        </a:prstGeom>
        <a:solidFill>
          <a:srgbClr val="FFFF00"/>
        </a:solidFill>
        <a:ln w="28575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INGRESE LOS DATOS EN LAS CELDAS DESTACADAS EN COLOR AMARILLO Y NARANJO</a:t>
          </a:r>
        </a:p>
      </xdr:txBody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17</xdr:col>
      <xdr:colOff>323850</xdr:colOff>
      <xdr:row>56</xdr:row>
      <xdr:rowOff>76200</xdr:rowOff>
    </xdr:to>
    <xdr:pic>
      <xdr:nvPicPr>
        <xdr:cNvPr id="2" name="Imagen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133475"/>
          <a:ext cx="12515850" cy="801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17</xdr:col>
      <xdr:colOff>352425</xdr:colOff>
      <xdr:row>108</xdr:row>
      <xdr:rowOff>47625</xdr:rowOff>
    </xdr:to>
    <xdr:pic>
      <xdr:nvPicPr>
        <xdr:cNvPr id="3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9391650"/>
          <a:ext cx="12544425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17</xdr:col>
      <xdr:colOff>304800</xdr:colOff>
      <xdr:row>159</xdr:row>
      <xdr:rowOff>133350</xdr:rowOff>
    </xdr:to>
    <xdr:pic>
      <xdr:nvPicPr>
        <xdr:cNvPr id="4" name="Imagen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811750"/>
          <a:ext cx="12496800" cy="806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9</xdr:col>
      <xdr:colOff>47625</xdr:colOff>
      <xdr:row>210</xdr:row>
      <xdr:rowOff>133350</xdr:rowOff>
    </xdr:to>
    <xdr:pic>
      <xdr:nvPicPr>
        <xdr:cNvPr id="5" name="Imagen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26069925"/>
          <a:ext cx="6143625" cy="806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76200</xdr:rowOff>
    </xdr:from>
    <xdr:to>
      <xdr:col>0</xdr:col>
      <xdr:colOff>1123950</xdr:colOff>
      <xdr:row>6</xdr:row>
      <xdr:rowOff>0</xdr:rowOff>
    </xdr:to>
    <xdr:sp>
      <xdr:nvSpPr>
        <xdr:cNvPr id="1" name="Flecha: a la derecha 1">
          <a:hlinkClick r:id="rId1"/>
        </xdr:cNvPr>
        <xdr:cNvSpPr>
          <a:spLocks/>
        </xdr:cNvSpPr>
      </xdr:nvSpPr>
      <xdr:spPr>
        <a:xfrm>
          <a:off x="361950" y="238125"/>
          <a:ext cx="762000" cy="876300"/>
        </a:xfrm>
        <a:prstGeom prst="rightArrow">
          <a:avLst>
            <a:gd name="adj" fmla="val 0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Ir a 
</a:t>
          </a:r>
          <a:r>
            <a:rPr lang="en-US" cap="none" sz="1200" b="1" i="0" u="none" baseline="0">
              <a:solidFill>
                <a:srgbClr val="FF0000"/>
              </a:solidFill>
            </a:rPr>
            <a:t>TABLA</a:t>
          </a:r>
          <a:r>
            <a:rPr lang="en-US" cap="none" sz="1200" b="1" i="0" u="none" baseline="0">
              <a:solidFill>
                <a:srgbClr val="FF0000"/>
              </a:solidFill>
            </a:rPr>
            <a:t> 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1</xdr:col>
      <xdr:colOff>771525</xdr:colOff>
      <xdr:row>4</xdr:row>
      <xdr:rowOff>142875</xdr:rowOff>
    </xdr:to>
    <xdr:sp>
      <xdr:nvSpPr>
        <xdr:cNvPr id="1" name="Flecha: hacia abajo 1">
          <a:hlinkClick r:id="rId1"/>
        </xdr:cNvPr>
        <xdr:cNvSpPr>
          <a:spLocks/>
        </xdr:cNvSpPr>
      </xdr:nvSpPr>
      <xdr:spPr>
        <a:xfrm>
          <a:off x="47625" y="161925"/>
          <a:ext cx="1200150" cy="704850"/>
        </a:xfrm>
        <a:prstGeom prst="downArrow">
          <a:avLst>
            <a:gd name="adj" fmla="val 0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Ir a TABLA</a:t>
          </a:r>
          <a:r>
            <a:rPr lang="en-US" cap="none" sz="1200" b="1" i="0" u="none" baseline="0">
              <a:solidFill>
                <a:srgbClr val="FF0000"/>
              </a:solidFill>
            </a:rPr>
            <a:t> 7</a:t>
          </a:r>
        </a:p>
      </xdr:txBody>
    </xdr:sp>
    <xdr:clientData/>
  </xdr:twoCellAnchor>
  <xdr:twoCellAnchor>
    <xdr:from>
      <xdr:col>1</xdr:col>
      <xdr:colOff>809625</xdr:colOff>
      <xdr:row>1</xdr:row>
      <xdr:rowOff>19050</xdr:rowOff>
    </xdr:from>
    <xdr:to>
      <xdr:col>2</xdr:col>
      <xdr:colOff>114300</xdr:colOff>
      <xdr:row>4</xdr:row>
      <xdr:rowOff>142875</xdr:rowOff>
    </xdr:to>
    <xdr:sp>
      <xdr:nvSpPr>
        <xdr:cNvPr id="2" name="Flecha: hacia abajo 1">
          <a:hlinkClick r:id="rId2"/>
        </xdr:cNvPr>
        <xdr:cNvSpPr>
          <a:spLocks/>
        </xdr:cNvSpPr>
      </xdr:nvSpPr>
      <xdr:spPr>
        <a:xfrm>
          <a:off x="1285875" y="180975"/>
          <a:ext cx="1171575" cy="685800"/>
        </a:xfrm>
        <a:prstGeom prst="downArrow">
          <a:avLst>
            <a:gd name="adj" fmla="val 0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Ir a TABLA</a:t>
          </a:r>
          <a:r>
            <a:rPr lang="en-US" cap="none" sz="1200" b="1" i="0" u="none" baseline="0">
              <a:solidFill>
                <a:srgbClr val="FF0000"/>
              </a:solidFill>
            </a:rPr>
            <a:t> 8</a:t>
          </a:r>
        </a:p>
      </xdr:txBody>
    </xdr:sp>
    <xdr:clientData/>
  </xdr:twoCellAnchor>
  <xdr:twoCellAnchor>
    <xdr:from>
      <xdr:col>2</xdr:col>
      <xdr:colOff>152400</xdr:colOff>
      <xdr:row>1</xdr:row>
      <xdr:rowOff>38100</xdr:rowOff>
    </xdr:from>
    <xdr:to>
      <xdr:col>2</xdr:col>
      <xdr:colOff>1343025</xdr:colOff>
      <xdr:row>4</xdr:row>
      <xdr:rowOff>152400</xdr:rowOff>
    </xdr:to>
    <xdr:sp>
      <xdr:nvSpPr>
        <xdr:cNvPr id="3" name="Flecha: hacia abajo 1">
          <a:hlinkClick r:id="rId3"/>
        </xdr:cNvPr>
        <xdr:cNvSpPr>
          <a:spLocks/>
        </xdr:cNvSpPr>
      </xdr:nvSpPr>
      <xdr:spPr>
        <a:xfrm>
          <a:off x="2495550" y="200025"/>
          <a:ext cx="1190625" cy="676275"/>
        </a:xfrm>
        <a:prstGeom prst="downArrow">
          <a:avLst>
            <a:gd name="adj" fmla="val 0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Ir a TABLA</a:t>
          </a:r>
          <a:r>
            <a:rPr lang="en-US" cap="none" sz="1200" b="1" i="0" u="none" baseline="0">
              <a:solidFill>
                <a:srgbClr val="FF0000"/>
              </a:solidFill>
            </a:rPr>
            <a:t> 9</a:t>
          </a:r>
        </a:p>
      </xdr:txBody>
    </xdr:sp>
    <xdr:clientData/>
  </xdr:twoCellAnchor>
  <xdr:twoCellAnchor>
    <xdr:from>
      <xdr:col>2</xdr:col>
      <xdr:colOff>1381125</xdr:colOff>
      <xdr:row>1</xdr:row>
      <xdr:rowOff>47625</xdr:rowOff>
    </xdr:from>
    <xdr:to>
      <xdr:col>3</xdr:col>
      <xdr:colOff>676275</xdr:colOff>
      <xdr:row>5</xdr:row>
      <xdr:rowOff>85725</xdr:rowOff>
    </xdr:to>
    <xdr:sp>
      <xdr:nvSpPr>
        <xdr:cNvPr id="4" name="Flecha: hacia abajo 1">
          <a:hlinkClick r:id="rId4"/>
        </xdr:cNvPr>
        <xdr:cNvSpPr>
          <a:spLocks/>
        </xdr:cNvSpPr>
      </xdr:nvSpPr>
      <xdr:spPr>
        <a:xfrm>
          <a:off x="3724275" y="209550"/>
          <a:ext cx="1209675" cy="762000"/>
        </a:xfrm>
        <a:prstGeom prst="downArrow">
          <a:avLst>
            <a:gd name="adj" fmla="val 0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Ir a TABLA</a:t>
          </a:r>
          <a:r>
            <a:rPr lang="en-US" cap="none" sz="1200" b="1" i="0" u="none" baseline="0">
              <a:solidFill>
                <a:srgbClr val="FF0000"/>
              </a:solidFill>
            </a:rPr>
            <a:t> 10</a:t>
          </a:r>
        </a:p>
      </xdr:txBody>
    </xdr:sp>
    <xdr:clientData/>
  </xdr:twoCellAnchor>
  <xdr:twoCellAnchor>
    <xdr:from>
      <xdr:col>32</xdr:col>
      <xdr:colOff>333375</xdr:colOff>
      <xdr:row>2</xdr:row>
      <xdr:rowOff>47625</xdr:rowOff>
    </xdr:from>
    <xdr:to>
      <xdr:col>32</xdr:col>
      <xdr:colOff>752475</xdr:colOff>
      <xdr:row>3</xdr:row>
      <xdr:rowOff>180975</xdr:rowOff>
    </xdr:to>
    <xdr:sp>
      <xdr:nvSpPr>
        <xdr:cNvPr id="5" name="Flecha derecha 7">
          <a:hlinkClick r:id="rId5"/>
        </xdr:cNvPr>
        <xdr:cNvSpPr>
          <a:spLocks/>
        </xdr:cNvSpPr>
      </xdr:nvSpPr>
      <xdr:spPr>
        <a:xfrm rot="10800000">
          <a:off x="37147500" y="371475"/>
          <a:ext cx="419100" cy="295275"/>
        </a:xfrm>
        <a:prstGeom prst="rightArrow">
          <a:avLst>
            <a:gd name="adj" fmla="val 14287"/>
          </a:avLst>
        </a:prstGeom>
        <a:solidFill>
          <a:srgbClr val="0000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419100</xdr:colOff>
      <xdr:row>4</xdr:row>
      <xdr:rowOff>57150</xdr:rowOff>
    </xdr:to>
    <xdr:sp>
      <xdr:nvSpPr>
        <xdr:cNvPr id="6" name="Flecha derecha 8">
          <a:hlinkClick r:id="rId6"/>
        </xdr:cNvPr>
        <xdr:cNvSpPr>
          <a:spLocks/>
        </xdr:cNvSpPr>
      </xdr:nvSpPr>
      <xdr:spPr>
        <a:xfrm rot="10800000">
          <a:off x="29584650" y="485775"/>
          <a:ext cx="419100" cy="295275"/>
        </a:xfrm>
        <a:prstGeom prst="rightArrow">
          <a:avLst>
            <a:gd name="adj" fmla="val 14287"/>
          </a:avLst>
        </a:prstGeom>
        <a:solidFill>
          <a:srgbClr val="0000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419100</xdr:colOff>
      <xdr:row>4</xdr:row>
      <xdr:rowOff>57150</xdr:rowOff>
    </xdr:to>
    <xdr:sp>
      <xdr:nvSpPr>
        <xdr:cNvPr id="7" name="Flecha derecha 10">
          <a:hlinkClick r:id="rId7"/>
        </xdr:cNvPr>
        <xdr:cNvSpPr>
          <a:spLocks/>
        </xdr:cNvSpPr>
      </xdr:nvSpPr>
      <xdr:spPr>
        <a:xfrm rot="10800000">
          <a:off x="23088600" y="485775"/>
          <a:ext cx="419100" cy="295275"/>
        </a:xfrm>
        <a:prstGeom prst="rightArrow">
          <a:avLst>
            <a:gd name="adj" fmla="val 14287"/>
          </a:avLst>
        </a:prstGeom>
        <a:solidFill>
          <a:srgbClr val="0000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3</xdr:row>
      <xdr:rowOff>28575</xdr:rowOff>
    </xdr:from>
    <xdr:to>
      <xdr:col>12</xdr:col>
      <xdr:colOff>781050</xdr:colOff>
      <xdr:row>4</xdr:row>
      <xdr:rowOff>85725</xdr:rowOff>
    </xdr:to>
    <xdr:sp>
      <xdr:nvSpPr>
        <xdr:cNvPr id="8" name="Flecha derecha 11">
          <a:hlinkClick r:id="rId8"/>
        </xdr:cNvPr>
        <xdr:cNvSpPr>
          <a:spLocks/>
        </xdr:cNvSpPr>
      </xdr:nvSpPr>
      <xdr:spPr>
        <a:xfrm rot="10800000">
          <a:off x="15154275" y="514350"/>
          <a:ext cx="409575" cy="295275"/>
        </a:xfrm>
        <a:prstGeom prst="rightArrow">
          <a:avLst>
            <a:gd name="adj" fmla="val 14287"/>
          </a:avLst>
        </a:prstGeom>
        <a:solidFill>
          <a:srgbClr val="0000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1323975</xdr:colOff>
      <xdr:row>1</xdr:row>
      <xdr:rowOff>0</xdr:rowOff>
    </xdr:from>
    <xdr:to>
      <xdr:col>7</xdr:col>
      <xdr:colOff>38100</xdr:colOff>
      <xdr:row>5</xdr:row>
      <xdr:rowOff>38100</xdr:rowOff>
    </xdr:to>
    <xdr:sp>
      <xdr:nvSpPr>
        <xdr:cNvPr id="9" name="Flecha: hacia abajo 1">
          <a:hlinkClick r:id="rId9"/>
        </xdr:cNvPr>
        <xdr:cNvSpPr>
          <a:spLocks/>
        </xdr:cNvSpPr>
      </xdr:nvSpPr>
      <xdr:spPr>
        <a:xfrm>
          <a:off x="8867775" y="161925"/>
          <a:ext cx="1181100" cy="762000"/>
        </a:xfrm>
        <a:prstGeom prst="downArrow">
          <a:avLst>
            <a:gd name="adj" fmla="val 0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Ir a TABLA</a:t>
          </a:r>
          <a:r>
            <a:rPr lang="en-US" cap="none" sz="1200" b="1" i="0" u="none" baseline="0">
              <a:solidFill>
                <a:srgbClr val="FF0000"/>
              </a:solidFill>
            </a:rPr>
            <a:t> 11</a:t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419100</xdr:colOff>
      <xdr:row>4</xdr:row>
      <xdr:rowOff>57150</xdr:rowOff>
    </xdr:to>
    <xdr:sp>
      <xdr:nvSpPr>
        <xdr:cNvPr id="10" name="Flecha derecha 13">
          <a:hlinkClick r:id="rId10"/>
        </xdr:cNvPr>
        <xdr:cNvSpPr>
          <a:spLocks/>
        </xdr:cNvSpPr>
      </xdr:nvSpPr>
      <xdr:spPr>
        <a:xfrm rot="10800000">
          <a:off x="43291125" y="485775"/>
          <a:ext cx="419100" cy="295275"/>
        </a:xfrm>
        <a:prstGeom prst="rightArrow">
          <a:avLst>
            <a:gd name="adj" fmla="val 14287"/>
          </a:avLst>
        </a:prstGeom>
        <a:solidFill>
          <a:srgbClr val="0000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99"/>
  </sheetPr>
  <dimension ref="C1:J52"/>
  <sheetViews>
    <sheetView showGridLines="0" zoomScale="73" zoomScaleNormal="73" zoomScalePageLayoutView="0" workbookViewId="0" topLeftCell="A1">
      <selection activeCell="S68" sqref="S68"/>
    </sheetView>
  </sheetViews>
  <sheetFormatPr defaultColWidth="11.421875" defaultRowHeight="12.75"/>
  <cols>
    <col min="1" max="16384" width="11.421875" style="81" customWidth="1"/>
  </cols>
  <sheetData>
    <row r="1" ht="12.75">
      <c r="J1" s="80"/>
    </row>
    <row r="2" ht="12.75">
      <c r="J2" s="80" t="s">
        <v>83</v>
      </c>
    </row>
    <row r="3" ht="12.75">
      <c r="J3" s="80"/>
    </row>
    <row r="5" spans="3:10" ht="12.75">
      <c r="C5" s="82"/>
      <c r="D5" s="82"/>
      <c r="E5" s="82"/>
      <c r="F5" s="82"/>
      <c r="G5" s="82"/>
      <c r="H5" s="82"/>
      <c r="I5" s="82"/>
      <c r="J5" s="82"/>
    </row>
    <row r="6" spans="3:10" ht="12.75">
      <c r="C6" s="82"/>
      <c r="D6" s="82"/>
      <c r="E6" s="82"/>
      <c r="F6" s="82"/>
      <c r="G6" s="82"/>
      <c r="H6" s="82"/>
      <c r="I6" s="82"/>
      <c r="J6" s="82"/>
    </row>
    <row r="7" spans="3:10" ht="12.75">
      <c r="C7" s="82"/>
      <c r="D7" s="82"/>
      <c r="E7" s="82"/>
      <c r="F7" s="82"/>
      <c r="G7" s="82"/>
      <c r="H7" s="82"/>
      <c r="I7" s="82"/>
      <c r="J7" s="82"/>
    </row>
    <row r="8" spans="3:10" ht="12.75">
      <c r="C8" s="82"/>
      <c r="D8" s="82"/>
      <c r="E8" s="82"/>
      <c r="F8" s="82"/>
      <c r="G8" s="82"/>
      <c r="H8" s="82"/>
      <c r="I8" s="82"/>
      <c r="J8" s="82"/>
    </row>
    <row r="9" spans="3:10" ht="12.75">
      <c r="C9" s="82"/>
      <c r="D9" s="82"/>
      <c r="E9" s="82"/>
      <c r="F9" s="82"/>
      <c r="G9" s="82"/>
      <c r="H9" s="82"/>
      <c r="I9" s="82"/>
      <c r="J9" s="82"/>
    </row>
    <row r="10" spans="3:10" ht="12.75">
      <c r="C10" s="82"/>
      <c r="D10" s="82"/>
      <c r="E10" s="82"/>
      <c r="F10" s="82"/>
      <c r="G10" s="82"/>
      <c r="H10" s="82"/>
      <c r="I10" s="82"/>
      <c r="J10" s="82"/>
    </row>
    <row r="11" spans="3:10" ht="12.75">
      <c r="C11" s="82"/>
      <c r="D11" s="82"/>
      <c r="E11" s="82"/>
      <c r="F11" s="82"/>
      <c r="G11" s="82"/>
      <c r="H11" s="82"/>
      <c r="I11" s="82"/>
      <c r="J11" s="82"/>
    </row>
    <row r="12" spans="3:10" ht="12.75">
      <c r="C12" s="82"/>
      <c r="D12" s="82"/>
      <c r="E12" s="82"/>
      <c r="F12" s="82"/>
      <c r="G12" s="82"/>
      <c r="H12" s="82"/>
      <c r="I12" s="82"/>
      <c r="J12" s="82"/>
    </row>
    <row r="13" spans="3:10" ht="12.75">
      <c r="C13" s="82"/>
      <c r="D13" s="82"/>
      <c r="E13" s="82"/>
      <c r="F13" s="82"/>
      <c r="G13" s="82"/>
      <c r="H13" s="82"/>
      <c r="I13" s="82"/>
      <c r="J13" s="82"/>
    </row>
    <row r="14" spans="3:10" ht="12.75">
      <c r="C14" s="82"/>
      <c r="D14" s="82"/>
      <c r="E14" s="82"/>
      <c r="F14" s="82"/>
      <c r="G14" s="82"/>
      <c r="H14" s="82"/>
      <c r="I14" s="82"/>
      <c r="J14" s="82"/>
    </row>
    <row r="15" spans="3:10" ht="12.75">
      <c r="C15" s="82"/>
      <c r="D15" s="82"/>
      <c r="E15" s="82"/>
      <c r="F15" s="82"/>
      <c r="G15" s="82"/>
      <c r="H15" s="82"/>
      <c r="I15" s="82"/>
      <c r="J15" s="82"/>
    </row>
    <row r="16" spans="3:10" ht="12.75">
      <c r="C16" s="82"/>
      <c r="D16" s="82"/>
      <c r="E16" s="82"/>
      <c r="F16" s="82"/>
      <c r="G16" s="82"/>
      <c r="H16" s="82"/>
      <c r="I16" s="82"/>
      <c r="J16" s="82"/>
    </row>
    <row r="17" spans="3:10" ht="12.75">
      <c r="C17" s="82"/>
      <c r="D17" s="82"/>
      <c r="E17" s="82"/>
      <c r="F17" s="82"/>
      <c r="G17" s="82"/>
      <c r="H17" s="82"/>
      <c r="I17" s="82"/>
      <c r="J17" s="82"/>
    </row>
    <row r="18" spans="3:10" ht="12.75">
      <c r="C18" s="82"/>
      <c r="D18" s="82"/>
      <c r="E18" s="82"/>
      <c r="F18" s="82"/>
      <c r="G18" s="82"/>
      <c r="H18" s="82"/>
      <c r="I18" s="82"/>
      <c r="J18" s="82"/>
    </row>
    <row r="19" spans="3:10" ht="12.75">
      <c r="C19" s="82"/>
      <c r="D19" s="82"/>
      <c r="E19" s="82"/>
      <c r="F19" s="82"/>
      <c r="G19" s="82"/>
      <c r="H19" s="82"/>
      <c r="I19" s="82"/>
      <c r="J19" s="82"/>
    </row>
    <row r="20" spans="3:10" ht="12.75">
      <c r="C20" s="82"/>
      <c r="D20" s="82"/>
      <c r="E20" s="82"/>
      <c r="F20" s="82"/>
      <c r="G20" s="82"/>
      <c r="H20" s="82"/>
      <c r="I20" s="82"/>
      <c r="J20" s="82"/>
    </row>
    <row r="21" spans="3:10" ht="12.75">
      <c r="C21" s="82"/>
      <c r="D21" s="82"/>
      <c r="E21" s="82"/>
      <c r="F21" s="82"/>
      <c r="G21" s="82"/>
      <c r="H21" s="82"/>
      <c r="I21" s="82"/>
      <c r="J21" s="82"/>
    </row>
    <row r="22" spans="3:10" ht="12.75">
      <c r="C22" s="82"/>
      <c r="D22" s="82"/>
      <c r="E22" s="82"/>
      <c r="F22" s="82"/>
      <c r="G22" s="82"/>
      <c r="H22" s="82"/>
      <c r="I22" s="82"/>
      <c r="J22" s="82"/>
    </row>
    <row r="23" spans="3:10" ht="12.75">
      <c r="C23" s="82"/>
      <c r="D23" s="82"/>
      <c r="E23" s="82"/>
      <c r="F23" s="82"/>
      <c r="G23" s="82"/>
      <c r="H23" s="82"/>
      <c r="I23" s="82"/>
      <c r="J23" s="82"/>
    </row>
    <row r="24" spans="3:10" ht="12.75">
      <c r="C24" s="82"/>
      <c r="D24" s="82"/>
      <c r="E24" s="82"/>
      <c r="F24" s="82"/>
      <c r="G24" s="82"/>
      <c r="H24" s="82"/>
      <c r="I24" s="82"/>
      <c r="J24" s="82"/>
    </row>
    <row r="25" spans="3:10" ht="12.75">
      <c r="C25" s="82"/>
      <c r="D25" s="82"/>
      <c r="E25" s="82"/>
      <c r="F25" s="82"/>
      <c r="G25" s="82"/>
      <c r="H25" s="82"/>
      <c r="I25" s="82"/>
      <c r="J25" s="82"/>
    </row>
    <row r="26" spans="3:10" ht="12.75">
      <c r="C26" s="82"/>
      <c r="D26" s="82"/>
      <c r="E26" s="82"/>
      <c r="F26" s="82"/>
      <c r="G26" s="82"/>
      <c r="H26" s="82"/>
      <c r="I26" s="82"/>
      <c r="J26" s="82"/>
    </row>
    <row r="27" spans="3:10" ht="12.75">
      <c r="C27" s="82"/>
      <c r="D27" s="82"/>
      <c r="E27" s="82"/>
      <c r="F27" s="82"/>
      <c r="G27" s="82"/>
      <c r="H27" s="82"/>
      <c r="I27" s="82"/>
      <c r="J27" s="82"/>
    </row>
    <row r="28" spans="3:10" ht="12.75">
      <c r="C28" s="82"/>
      <c r="D28" s="82"/>
      <c r="E28" s="82"/>
      <c r="F28" s="82"/>
      <c r="G28" s="82"/>
      <c r="H28" s="82"/>
      <c r="I28" s="82"/>
      <c r="J28" s="82"/>
    </row>
    <row r="29" spans="3:10" ht="12.75">
      <c r="C29" s="82"/>
      <c r="D29" s="82"/>
      <c r="E29" s="82"/>
      <c r="F29" s="82"/>
      <c r="G29" s="82"/>
      <c r="H29" s="82"/>
      <c r="I29" s="82"/>
      <c r="J29" s="82"/>
    </row>
    <row r="30" spans="3:10" ht="12.75">
      <c r="C30" s="82"/>
      <c r="D30" s="82"/>
      <c r="E30" s="82"/>
      <c r="F30" s="82"/>
      <c r="G30" s="82"/>
      <c r="H30" s="82"/>
      <c r="I30" s="82"/>
      <c r="J30" s="82"/>
    </row>
    <row r="31" spans="3:10" ht="12.75">
      <c r="C31" s="82"/>
      <c r="D31" s="82"/>
      <c r="E31" s="82"/>
      <c r="F31" s="82"/>
      <c r="G31" s="82"/>
      <c r="H31" s="82"/>
      <c r="I31" s="82"/>
      <c r="J31" s="82"/>
    </row>
    <row r="32" spans="3:10" ht="12.75">
      <c r="C32" s="82"/>
      <c r="D32" s="82"/>
      <c r="E32" s="82"/>
      <c r="F32" s="82"/>
      <c r="G32" s="82"/>
      <c r="H32" s="82"/>
      <c r="I32" s="82"/>
      <c r="J32" s="82"/>
    </row>
    <row r="33" spans="3:10" ht="12.75">
      <c r="C33" s="82"/>
      <c r="D33" s="82"/>
      <c r="E33" s="82"/>
      <c r="F33" s="82"/>
      <c r="G33" s="82"/>
      <c r="H33" s="82"/>
      <c r="I33" s="82"/>
      <c r="J33" s="82"/>
    </row>
    <row r="34" spans="3:10" ht="12.75">
      <c r="C34" s="82"/>
      <c r="D34" s="82"/>
      <c r="E34" s="82"/>
      <c r="F34" s="82"/>
      <c r="G34" s="82"/>
      <c r="H34" s="82"/>
      <c r="I34" s="82"/>
      <c r="J34" s="82"/>
    </row>
    <row r="35" spans="3:10" ht="12.75">
      <c r="C35" s="82"/>
      <c r="D35" s="82"/>
      <c r="E35" s="82"/>
      <c r="F35" s="82"/>
      <c r="G35" s="82"/>
      <c r="H35" s="82"/>
      <c r="I35" s="82"/>
      <c r="J35" s="82"/>
    </row>
    <row r="36" spans="3:10" ht="12.75">
      <c r="C36" s="82"/>
      <c r="D36" s="82"/>
      <c r="E36" s="82"/>
      <c r="F36" s="82"/>
      <c r="G36" s="82"/>
      <c r="H36" s="82"/>
      <c r="I36" s="82"/>
      <c r="J36" s="82"/>
    </row>
    <row r="37" spans="3:10" ht="12.75">
      <c r="C37" s="82"/>
      <c r="D37" s="82"/>
      <c r="E37" s="82"/>
      <c r="F37" s="82"/>
      <c r="G37" s="82"/>
      <c r="H37" s="82"/>
      <c r="I37" s="82"/>
      <c r="J37" s="82"/>
    </row>
    <row r="38" spans="3:10" ht="12.75">
      <c r="C38" s="82"/>
      <c r="D38" s="82"/>
      <c r="E38" s="82"/>
      <c r="F38" s="82"/>
      <c r="G38" s="82"/>
      <c r="H38" s="82"/>
      <c r="I38" s="82"/>
      <c r="J38" s="82"/>
    </row>
    <row r="39" spans="3:10" ht="12.75">
      <c r="C39" s="82"/>
      <c r="D39" s="82"/>
      <c r="E39" s="82"/>
      <c r="F39" s="82"/>
      <c r="G39" s="82"/>
      <c r="H39" s="82"/>
      <c r="I39" s="82"/>
      <c r="J39" s="82"/>
    </row>
    <row r="40" spans="3:10" ht="12.75">
      <c r="C40" s="82"/>
      <c r="D40" s="82"/>
      <c r="E40" s="82"/>
      <c r="F40" s="82"/>
      <c r="G40" s="82"/>
      <c r="H40" s="82"/>
      <c r="I40" s="82"/>
      <c r="J40" s="82"/>
    </row>
    <row r="41" spans="3:10" ht="12.75">
      <c r="C41" s="82"/>
      <c r="D41" s="82"/>
      <c r="E41" s="82"/>
      <c r="F41" s="82"/>
      <c r="G41" s="82"/>
      <c r="H41" s="82"/>
      <c r="I41" s="82"/>
      <c r="J41" s="82"/>
    </row>
    <row r="42" spans="3:10" ht="12.75">
      <c r="C42" s="82"/>
      <c r="D42" s="82"/>
      <c r="E42" s="82"/>
      <c r="F42" s="82"/>
      <c r="G42" s="82"/>
      <c r="H42" s="82"/>
      <c r="I42" s="82"/>
      <c r="J42" s="82"/>
    </row>
    <row r="43" spans="3:10" ht="12.75">
      <c r="C43" s="82"/>
      <c r="D43" s="82"/>
      <c r="E43" s="82"/>
      <c r="F43" s="82"/>
      <c r="G43" s="82"/>
      <c r="H43" s="82"/>
      <c r="I43" s="82"/>
      <c r="J43" s="82"/>
    </row>
    <row r="44" spans="3:10" ht="12.75">
      <c r="C44" s="82"/>
      <c r="D44" s="82"/>
      <c r="E44" s="82"/>
      <c r="F44" s="82"/>
      <c r="G44" s="82"/>
      <c r="H44" s="82"/>
      <c r="I44" s="82"/>
      <c r="J44" s="82"/>
    </row>
    <row r="45" spans="3:10" ht="12.75">
      <c r="C45" s="82"/>
      <c r="D45" s="82"/>
      <c r="E45" s="82"/>
      <c r="F45" s="82"/>
      <c r="G45" s="82"/>
      <c r="H45" s="82"/>
      <c r="I45" s="82"/>
      <c r="J45" s="82"/>
    </row>
    <row r="46" spans="3:10" ht="12.75">
      <c r="C46" s="82"/>
      <c r="D46" s="82"/>
      <c r="E46" s="82"/>
      <c r="F46" s="82"/>
      <c r="G46" s="82"/>
      <c r="H46" s="82"/>
      <c r="I46" s="82"/>
      <c r="J46" s="82"/>
    </row>
    <row r="47" spans="3:10" ht="12.75">
      <c r="C47" s="82"/>
      <c r="D47" s="82"/>
      <c r="E47" s="82"/>
      <c r="F47" s="82"/>
      <c r="G47" s="82"/>
      <c r="H47" s="82"/>
      <c r="I47" s="82"/>
      <c r="J47" s="82"/>
    </row>
    <row r="48" spans="3:10" ht="12.75">
      <c r="C48" s="82"/>
      <c r="D48" s="82"/>
      <c r="E48" s="82"/>
      <c r="F48" s="82"/>
      <c r="G48" s="82"/>
      <c r="H48" s="82"/>
      <c r="I48" s="82"/>
      <c r="J48" s="82"/>
    </row>
    <row r="49" spans="3:10" ht="12.75">
      <c r="C49" s="82"/>
      <c r="D49" s="82"/>
      <c r="E49" s="82"/>
      <c r="F49" s="82"/>
      <c r="G49" s="82"/>
      <c r="H49" s="82"/>
      <c r="I49" s="82"/>
      <c r="J49" s="82"/>
    </row>
    <row r="50" spans="3:10" ht="12.75">
      <c r="C50" s="82"/>
      <c r="D50" s="82"/>
      <c r="E50" s="82"/>
      <c r="F50" s="82"/>
      <c r="G50" s="82"/>
      <c r="H50" s="82"/>
      <c r="I50" s="82"/>
      <c r="J50" s="82"/>
    </row>
    <row r="51" spans="3:10" ht="12.75">
      <c r="C51" s="82"/>
      <c r="D51" s="82"/>
      <c r="E51" s="82"/>
      <c r="F51" s="82"/>
      <c r="G51" s="82"/>
      <c r="H51" s="82"/>
      <c r="I51" s="82"/>
      <c r="J51" s="82"/>
    </row>
    <row r="52" spans="3:10" ht="12.75">
      <c r="C52" s="82"/>
      <c r="D52" s="82"/>
      <c r="E52" s="82"/>
      <c r="F52" s="82"/>
      <c r="G52" s="82"/>
      <c r="H52" s="82"/>
      <c r="I52" s="82"/>
      <c r="J52" s="82"/>
    </row>
  </sheetData>
  <sheetProtection sheet="1" objects="1" scenarios="1"/>
  <printOptions/>
  <pageMargins left="0.5118110236220472" right="0.11811023622047245" top="0.7480314960629921" bottom="1.535433070866142" header="0.31496062992125984" footer="0.31496062992125984"/>
  <pageSetup orientation="landscape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IV195"/>
  <sheetViews>
    <sheetView showGridLines="0" zoomScale="70" zoomScaleNormal="70" zoomScalePageLayoutView="0" workbookViewId="0" topLeftCell="A13">
      <selection activeCell="B33" sqref="B33"/>
    </sheetView>
  </sheetViews>
  <sheetFormatPr defaultColWidth="11.421875" defaultRowHeight="12.75"/>
  <cols>
    <col min="1" max="1" width="26.7109375" style="89" customWidth="1"/>
    <col min="2" max="2" width="18.00390625" style="89" customWidth="1"/>
    <col min="3" max="3" width="14.7109375" style="89" customWidth="1"/>
    <col min="4" max="4" width="14.8515625" style="89" customWidth="1"/>
    <col min="5" max="5" width="14.00390625" style="89" customWidth="1"/>
    <col min="6" max="6" width="15.57421875" style="89" customWidth="1"/>
    <col min="7" max="7" width="23.57421875" style="89" customWidth="1"/>
    <col min="8" max="8" width="18.7109375" style="89" customWidth="1"/>
    <col min="9" max="9" width="15.421875" style="89" customWidth="1"/>
    <col min="10" max="10" width="16.7109375" style="89" customWidth="1"/>
    <col min="11" max="11" width="13.28125" style="89" customWidth="1"/>
    <col min="12" max="12" width="11.421875" style="89" customWidth="1"/>
    <col min="13" max="13" width="13.57421875" style="89" customWidth="1"/>
    <col min="14" max="29" width="11.421875" style="89" customWidth="1"/>
    <col min="30" max="30" width="12.57421875" style="89" customWidth="1"/>
    <col min="31" max="16384" width="11.421875" style="89" customWidth="1"/>
  </cols>
  <sheetData>
    <row r="1" spans="10:11" ht="12.75">
      <c r="J1" s="201"/>
      <c r="K1" s="204"/>
    </row>
    <row r="2" spans="10:11" ht="12.75">
      <c r="J2" s="201" t="s">
        <v>202</v>
      </c>
      <c r="K2" s="204"/>
    </row>
    <row r="4" spans="9:11" ht="19.5" customHeight="1">
      <c r="I4" s="202" t="s">
        <v>0</v>
      </c>
      <c r="J4" s="1029" t="str">
        <f>+'B) Reajuste Tarifas y Ocupación'!F5</f>
        <v>(DEPTO./DELEG.)</v>
      </c>
      <c r="K4" s="1030"/>
    </row>
    <row r="6" spans="1:18" ht="12.75" customHeight="1">
      <c r="A6" s="203" t="s">
        <v>123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</row>
    <row r="7" spans="1:18" ht="12.7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</row>
    <row r="8" spans="1:17" ht="12.75">
      <c r="A8" s="531" t="s">
        <v>433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</row>
    <row r="9" spans="1:17" ht="12.75">
      <c r="A9" s="531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</row>
    <row r="10" spans="1:256" ht="12.75">
      <c r="A10" s="736" t="s">
        <v>526</v>
      </c>
      <c r="B10" s="736"/>
      <c r="C10" s="736"/>
      <c r="D10" s="736"/>
      <c r="E10" s="736"/>
      <c r="F10" s="736"/>
      <c r="G10" s="736"/>
      <c r="H10" s="736"/>
      <c r="I10" s="736"/>
      <c r="J10" s="736"/>
      <c r="K10" s="736"/>
      <c r="L10" s="736"/>
      <c r="M10" s="736"/>
      <c r="N10" s="736"/>
      <c r="O10" s="736"/>
      <c r="P10" s="736"/>
      <c r="Q10" s="736"/>
      <c r="R10" s="736"/>
      <c r="S10" s="736"/>
      <c r="T10" s="736"/>
      <c r="U10" s="736"/>
      <c r="V10" s="736"/>
      <c r="W10" s="736"/>
      <c r="X10" s="736"/>
      <c r="Y10" s="736"/>
      <c r="Z10" s="736"/>
      <c r="AA10" s="736"/>
      <c r="AB10" s="736"/>
      <c r="AC10" s="736"/>
      <c r="AD10" s="736"/>
      <c r="AE10" s="736"/>
      <c r="AF10" s="736"/>
      <c r="AG10" s="736"/>
      <c r="AH10" s="736"/>
      <c r="AI10" s="736"/>
      <c r="AJ10" s="736"/>
      <c r="AK10" s="736"/>
      <c r="AL10" s="736"/>
      <c r="AM10" s="736"/>
      <c r="AN10" s="736"/>
      <c r="AO10" s="736"/>
      <c r="AP10" s="736"/>
      <c r="AQ10" s="736"/>
      <c r="AR10" s="736"/>
      <c r="AS10" s="736"/>
      <c r="AT10" s="736"/>
      <c r="AU10" s="736"/>
      <c r="AV10" s="736"/>
      <c r="AW10" s="736"/>
      <c r="AX10" s="736"/>
      <c r="AY10" s="736"/>
      <c r="AZ10" s="736"/>
      <c r="BA10" s="736"/>
      <c r="BB10" s="736"/>
      <c r="BC10" s="736"/>
      <c r="BD10" s="736"/>
      <c r="BE10" s="736"/>
      <c r="BF10" s="736"/>
      <c r="BG10" s="736"/>
      <c r="BH10" s="736"/>
      <c r="BI10" s="736"/>
      <c r="BJ10" s="736"/>
      <c r="BK10" s="736"/>
      <c r="BL10" s="736"/>
      <c r="BM10" s="736"/>
      <c r="BN10" s="736"/>
      <c r="BO10" s="736"/>
      <c r="BP10" s="736"/>
      <c r="BQ10" s="736"/>
      <c r="BR10" s="736"/>
      <c r="BS10" s="736"/>
      <c r="BT10" s="736"/>
      <c r="BU10" s="736"/>
      <c r="BV10" s="736"/>
      <c r="BW10" s="736"/>
      <c r="BX10" s="736"/>
      <c r="BY10" s="736"/>
      <c r="BZ10" s="736"/>
      <c r="CA10" s="736"/>
      <c r="CB10" s="736"/>
      <c r="CC10" s="736"/>
      <c r="CD10" s="736"/>
      <c r="CE10" s="736"/>
      <c r="CF10" s="736"/>
      <c r="CG10" s="736"/>
      <c r="CH10" s="736"/>
      <c r="CI10" s="736"/>
      <c r="CJ10" s="736"/>
      <c r="CK10" s="736"/>
      <c r="CL10" s="736"/>
      <c r="CM10" s="736"/>
      <c r="CN10" s="736"/>
      <c r="CO10" s="736"/>
      <c r="CP10" s="736"/>
      <c r="CQ10" s="736"/>
      <c r="CR10" s="736"/>
      <c r="CS10" s="736"/>
      <c r="CT10" s="736"/>
      <c r="CU10" s="736"/>
      <c r="CV10" s="736"/>
      <c r="CW10" s="736"/>
      <c r="CX10" s="736"/>
      <c r="CY10" s="736"/>
      <c r="CZ10" s="736"/>
      <c r="DA10" s="736"/>
      <c r="DB10" s="736"/>
      <c r="DC10" s="736"/>
      <c r="DD10" s="736"/>
      <c r="DE10" s="736"/>
      <c r="DF10" s="736"/>
      <c r="DG10" s="736"/>
      <c r="DH10" s="736"/>
      <c r="DI10" s="736"/>
      <c r="DJ10" s="736"/>
      <c r="DK10" s="736"/>
      <c r="DL10" s="736"/>
      <c r="DM10" s="736"/>
      <c r="DN10" s="736"/>
      <c r="DO10" s="736"/>
      <c r="DP10" s="736"/>
      <c r="DQ10" s="736"/>
      <c r="DR10" s="736"/>
      <c r="DS10" s="736"/>
      <c r="DT10" s="736"/>
      <c r="DU10" s="736"/>
      <c r="DV10" s="736"/>
      <c r="DW10" s="736"/>
      <c r="DX10" s="736"/>
      <c r="DY10" s="736"/>
      <c r="DZ10" s="736"/>
      <c r="EA10" s="736"/>
      <c r="EB10" s="736"/>
      <c r="EC10" s="736"/>
      <c r="ED10" s="736"/>
      <c r="EE10" s="736"/>
      <c r="EF10" s="736"/>
      <c r="EG10" s="736"/>
      <c r="EH10" s="736"/>
      <c r="EI10" s="736"/>
      <c r="EJ10" s="736"/>
      <c r="EK10" s="736"/>
      <c r="EL10" s="736"/>
      <c r="EM10" s="736"/>
      <c r="EN10" s="736"/>
      <c r="EO10" s="736"/>
      <c r="EP10" s="736"/>
      <c r="EQ10" s="736"/>
      <c r="ER10" s="736"/>
      <c r="ES10" s="736"/>
      <c r="ET10" s="736"/>
      <c r="EU10" s="736"/>
      <c r="EV10" s="736"/>
      <c r="EW10" s="736"/>
      <c r="EX10" s="736"/>
      <c r="EY10" s="736"/>
      <c r="EZ10" s="736"/>
      <c r="FA10" s="736"/>
      <c r="FB10" s="736"/>
      <c r="FC10" s="736"/>
      <c r="FD10" s="736"/>
      <c r="FE10" s="736"/>
      <c r="FF10" s="736"/>
      <c r="FG10" s="736"/>
      <c r="FH10" s="736"/>
      <c r="FI10" s="736"/>
      <c r="FJ10" s="736"/>
      <c r="FK10" s="736"/>
      <c r="FL10" s="736"/>
      <c r="FM10" s="736"/>
      <c r="FN10" s="736"/>
      <c r="FO10" s="736"/>
      <c r="FP10" s="736"/>
      <c r="FQ10" s="736"/>
      <c r="FR10" s="736"/>
      <c r="FS10" s="736"/>
      <c r="FT10" s="736"/>
      <c r="FU10" s="736"/>
      <c r="FV10" s="736"/>
      <c r="FW10" s="736"/>
      <c r="FX10" s="736"/>
      <c r="FY10" s="736"/>
      <c r="FZ10" s="736"/>
      <c r="GA10" s="736"/>
      <c r="GB10" s="736"/>
      <c r="GC10" s="736"/>
      <c r="GD10" s="736"/>
      <c r="GE10" s="736"/>
      <c r="GF10" s="736"/>
      <c r="GG10" s="736"/>
      <c r="GH10" s="736"/>
      <c r="GI10" s="736"/>
      <c r="GJ10" s="736"/>
      <c r="GK10" s="736"/>
      <c r="GL10" s="736"/>
      <c r="GM10" s="736"/>
      <c r="GN10" s="736"/>
      <c r="GO10" s="736"/>
      <c r="GP10" s="736"/>
      <c r="GQ10" s="736"/>
      <c r="GR10" s="736"/>
      <c r="GS10" s="736"/>
      <c r="GT10" s="736"/>
      <c r="GU10" s="736"/>
      <c r="GV10" s="736"/>
      <c r="GW10" s="736"/>
      <c r="GX10" s="736"/>
      <c r="GY10" s="736"/>
      <c r="GZ10" s="736"/>
      <c r="HA10" s="736"/>
      <c r="HB10" s="736"/>
      <c r="HC10" s="736"/>
      <c r="HD10" s="736"/>
      <c r="HE10" s="736"/>
      <c r="HF10" s="736"/>
      <c r="HG10" s="736"/>
      <c r="HH10" s="736"/>
      <c r="HI10" s="736"/>
      <c r="HJ10" s="736"/>
      <c r="HK10" s="736"/>
      <c r="HL10" s="736"/>
      <c r="HM10" s="736"/>
      <c r="HN10" s="736"/>
      <c r="HO10" s="736"/>
      <c r="HP10" s="736"/>
      <c r="HQ10" s="736"/>
      <c r="HR10" s="736"/>
      <c r="HS10" s="736"/>
      <c r="HT10" s="736"/>
      <c r="HU10" s="736"/>
      <c r="HV10" s="736"/>
      <c r="HW10" s="736"/>
      <c r="HX10" s="736"/>
      <c r="HY10" s="736"/>
      <c r="HZ10" s="736"/>
      <c r="IA10" s="736"/>
      <c r="IB10" s="736"/>
      <c r="IC10" s="736"/>
      <c r="ID10" s="736"/>
      <c r="IE10" s="736"/>
      <c r="IF10" s="736"/>
      <c r="IG10" s="736"/>
      <c r="IH10" s="736"/>
      <c r="II10" s="736"/>
      <c r="IJ10" s="736"/>
      <c r="IK10" s="736"/>
      <c r="IL10" s="736"/>
      <c r="IM10" s="736"/>
      <c r="IN10" s="736"/>
      <c r="IO10" s="736"/>
      <c r="IP10" s="736"/>
      <c r="IQ10" s="736"/>
      <c r="IR10" s="736"/>
      <c r="IS10" s="736"/>
      <c r="IT10" s="736"/>
      <c r="IU10" s="736"/>
      <c r="IV10" s="736"/>
    </row>
    <row r="11" spans="1:9" ht="13.5" thickBot="1">
      <c r="A11" s="532"/>
      <c r="B11" s="531"/>
      <c r="C11" s="531"/>
      <c r="D11" s="532"/>
      <c r="E11" s="532"/>
      <c r="F11" s="532"/>
      <c r="G11" s="532"/>
      <c r="H11" s="532"/>
      <c r="I11" s="532"/>
    </row>
    <row r="12" spans="1:13" ht="13.5" thickBot="1">
      <c r="A12" s="533" t="s">
        <v>356</v>
      </c>
      <c r="B12" s="534" t="s">
        <v>81</v>
      </c>
      <c r="C12" s="535" t="s">
        <v>409</v>
      </c>
      <c r="D12" s="535" t="s">
        <v>357</v>
      </c>
      <c r="E12" s="536" t="s">
        <v>358</v>
      </c>
      <c r="F12" s="536" t="s">
        <v>359</v>
      </c>
      <c r="G12" s="536" t="s">
        <v>360</v>
      </c>
      <c r="H12" s="537" t="s">
        <v>361</v>
      </c>
      <c r="I12" s="536" t="s">
        <v>362</v>
      </c>
      <c r="J12" s="538" t="s">
        <v>363</v>
      </c>
      <c r="K12" s="539" t="s">
        <v>364</v>
      </c>
      <c r="L12" s="540" t="s">
        <v>106</v>
      </c>
      <c r="M12" s="609" t="s">
        <v>411</v>
      </c>
    </row>
    <row r="13" spans="1:14" ht="12.75">
      <c r="A13" s="643">
        <v>1</v>
      </c>
      <c r="B13" s="644" t="s">
        <v>365</v>
      </c>
      <c r="C13" s="745">
        <v>2000</v>
      </c>
      <c r="D13" s="645" t="s">
        <v>366</v>
      </c>
      <c r="E13" s="646">
        <f>+C13*D13</f>
        <v>40000</v>
      </c>
      <c r="F13" s="646"/>
      <c r="G13" s="646">
        <f>+E13-F13</f>
        <v>40000</v>
      </c>
      <c r="H13" s="647">
        <v>6</v>
      </c>
      <c r="I13" s="646">
        <f>+G13*H13</f>
        <v>240000</v>
      </c>
      <c r="J13" s="646">
        <f>+I13*11</f>
        <v>2640000</v>
      </c>
      <c r="K13" s="648"/>
      <c r="L13" s="649">
        <f>+J13+K13</f>
        <v>2640000</v>
      </c>
      <c r="M13" s="650">
        <f>+D13*H13*11</f>
        <v>1320</v>
      </c>
      <c r="N13" s="728"/>
    </row>
    <row r="14" spans="1:13" ht="12.75">
      <c r="A14" s="541">
        <v>2</v>
      </c>
      <c r="B14" s="542" t="s">
        <v>367</v>
      </c>
      <c r="C14" s="746">
        <v>2000</v>
      </c>
      <c r="D14" s="543" t="s">
        <v>368</v>
      </c>
      <c r="E14" s="544">
        <f>+C14*D14</f>
        <v>30000</v>
      </c>
      <c r="F14" s="544"/>
      <c r="G14" s="544">
        <f>+E14-F14</f>
        <v>30000</v>
      </c>
      <c r="H14" s="545">
        <v>0</v>
      </c>
      <c r="I14" s="544">
        <f>+G14*H14</f>
        <v>0</v>
      </c>
      <c r="J14" s="546">
        <f>+I14*12</f>
        <v>0</v>
      </c>
      <c r="K14" s="547"/>
      <c r="L14" s="548">
        <f>+J14+K14</f>
        <v>0</v>
      </c>
      <c r="M14" s="610">
        <f>+D14*H14*11</f>
        <v>0</v>
      </c>
    </row>
    <row r="15" spans="1:13" ht="13.5" thickBot="1">
      <c r="A15" s="651">
        <v>3</v>
      </c>
      <c r="B15" s="652" t="s">
        <v>410</v>
      </c>
      <c r="C15" s="747">
        <v>2000</v>
      </c>
      <c r="D15" s="653" t="s">
        <v>366</v>
      </c>
      <c r="E15" s="654">
        <f>+C15*D15</f>
        <v>40000</v>
      </c>
      <c r="F15" s="654"/>
      <c r="G15" s="654">
        <f>+E15-F15</f>
        <v>40000</v>
      </c>
      <c r="H15" s="655">
        <v>2</v>
      </c>
      <c r="I15" s="654">
        <f>+G15*H15</f>
        <v>80000</v>
      </c>
      <c r="J15" s="656">
        <f>+I15*11</f>
        <v>880000</v>
      </c>
      <c r="K15" s="657"/>
      <c r="L15" s="658">
        <f>+J15+K15</f>
        <v>880000</v>
      </c>
      <c r="M15" s="611">
        <f>+D15*H15*11</f>
        <v>440</v>
      </c>
    </row>
    <row r="16" ht="12.75">
      <c r="C16" s="728"/>
    </row>
    <row r="17" ht="12.75">
      <c r="A17" s="549" t="s">
        <v>421</v>
      </c>
    </row>
    <row r="18" ht="13.5" thickBot="1"/>
    <row r="19" spans="1:5" ht="24" customHeight="1" thickBot="1">
      <c r="A19" s="663" t="s">
        <v>369</v>
      </c>
      <c r="B19" s="669">
        <v>2021</v>
      </c>
      <c r="C19" s="675" t="s">
        <v>370</v>
      </c>
      <c r="D19" s="673" t="s">
        <v>371</v>
      </c>
      <c r="E19" s="661"/>
    </row>
    <row r="20" spans="1:5" ht="40.5" customHeight="1" thickBot="1">
      <c r="A20" s="664" t="s">
        <v>372</v>
      </c>
      <c r="B20" s="731" t="s">
        <v>373</v>
      </c>
      <c r="C20" s="676" t="s">
        <v>424</v>
      </c>
      <c r="D20" s="674" t="s">
        <v>423</v>
      </c>
      <c r="E20" s="662"/>
    </row>
    <row r="21" spans="1:5" ht="12.75">
      <c r="A21" s="665" t="s">
        <v>374</v>
      </c>
      <c r="B21" s="732">
        <v>2782289</v>
      </c>
      <c r="C21" s="729"/>
      <c r="D21" s="680"/>
      <c r="E21" s="684"/>
    </row>
    <row r="22" spans="1:5" ht="12.75">
      <c r="A22" s="666" t="s">
        <v>375</v>
      </c>
      <c r="B22" s="732">
        <f>+B21/8*4</f>
        <v>1391144.5</v>
      </c>
      <c r="C22" s="730"/>
      <c r="D22" s="681"/>
      <c r="E22" s="677"/>
    </row>
    <row r="23" spans="1:5" ht="12.75">
      <c r="A23" s="667" t="s">
        <v>426</v>
      </c>
      <c r="B23" s="670">
        <f>+B21+B22</f>
        <v>4173433.5</v>
      </c>
      <c r="C23" s="677"/>
      <c r="D23" s="681"/>
      <c r="E23" s="677"/>
    </row>
    <row r="24" spans="1:5" ht="12.75">
      <c r="A24" s="666" t="s">
        <v>376</v>
      </c>
      <c r="B24" s="671">
        <f>+C24+D24</f>
        <v>25047</v>
      </c>
      <c r="C24" s="678">
        <f>29*3*21*11</f>
        <v>20097</v>
      </c>
      <c r="D24" s="682">
        <f>15*2*15*11</f>
        <v>4950</v>
      </c>
      <c r="E24" s="677"/>
    </row>
    <row r="25" spans="1:5" ht="13.5" thickBot="1">
      <c r="A25" s="668" t="s">
        <v>377</v>
      </c>
      <c r="B25" s="672">
        <f>+B23/B24</f>
        <v>166.6240867169721</v>
      </c>
      <c r="C25" s="679"/>
      <c r="D25" s="683"/>
      <c r="E25" s="685"/>
    </row>
    <row r="26" spans="2:5" ht="13.5" thickBot="1">
      <c r="B26" s="550"/>
      <c r="C26" s="551"/>
      <c r="D26" s="552"/>
      <c r="E26" s="552"/>
    </row>
    <row r="27" spans="1:10" ht="45" customHeight="1" thickBot="1">
      <c r="A27" s="660" t="s">
        <v>369</v>
      </c>
      <c r="B27" s="693" t="s">
        <v>422</v>
      </c>
      <c r="C27" s="676" t="s">
        <v>428</v>
      </c>
      <c r="D27" s="676" t="s">
        <v>427</v>
      </c>
      <c r="E27" s="688"/>
      <c r="F27" s="629"/>
      <c r="G27" s="703" t="s">
        <v>369</v>
      </c>
      <c r="H27" s="669" t="s">
        <v>422</v>
      </c>
      <c r="I27" s="709" t="s">
        <v>430</v>
      </c>
      <c r="J27" s="676" t="s">
        <v>431</v>
      </c>
    </row>
    <row r="28" spans="1:10" ht="25.5">
      <c r="A28" s="686" t="s">
        <v>372</v>
      </c>
      <c r="B28" s="694" t="s">
        <v>373</v>
      </c>
      <c r="C28" s="689" t="s">
        <v>520</v>
      </c>
      <c r="D28" s="689" t="s">
        <v>521</v>
      </c>
      <c r="E28" s="684"/>
      <c r="F28" s="629"/>
      <c r="G28" s="666" t="s">
        <v>372</v>
      </c>
      <c r="H28" s="707" t="s">
        <v>373</v>
      </c>
      <c r="I28" s="708" t="s">
        <v>522</v>
      </c>
      <c r="J28" s="708" t="s">
        <v>523</v>
      </c>
    </row>
    <row r="29" spans="1:10" ht="13.5" thickBot="1">
      <c r="A29" s="659" t="s">
        <v>429</v>
      </c>
      <c r="B29" s="695">
        <f>+C32+D32</f>
        <v>6227800.516812074</v>
      </c>
      <c r="C29" s="677"/>
      <c r="D29" s="677"/>
      <c r="E29" s="677"/>
      <c r="F29" s="629"/>
      <c r="G29" s="704" t="s">
        <v>425</v>
      </c>
      <c r="H29" s="705">
        <f>+I32+J32</f>
        <v>1455939.9418498026</v>
      </c>
      <c r="I29" s="699"/>
      <c r="J29" s="699"/>
    </row>
    <row r="30" spans="1:10" ht="13.5" thickBot="1">
      <c r="A30" s="687" t="s">
        <v>376</v>
      </c>
      <c r="B30" s="770">
        <f>+C30+D30</f>
        <v>34866</v>
      </c>
      <c r="C30" s="771">
        <f>42*3*21*11</f>
        <v>29106</v>
      </c>
      <c r="D30" s="690">
        <f>16*2*15*12</f>
        <v>5760</v>
      </c>
      <c r="E30" s="685"/>
      <c r="F30" s="629"/>
      <c r="G30" s="664" t="s">
        <v>376</v>
      </c>
      <c r="H30" s="628">
        <f>+I30+J30</f>
        <v>8151</v>
      </c>
      <c r="I30" s="700">
        <f>1*1*21*11</f>
        <v>231</v>
      </c>
      <c r="J30" s="700">
        <f>18*2*20*11</f>
        <v>7920</v>
      </c>
    </row>
    <row r="31" spans="2:10" ht="12.75">
      <c r="B31" s="696"/>
      <c r="C31" s="698"/>
      <c r="D31" s="691"/>
      <c r="E31" s="684"/>
      <c r="F31" s="629"/>
      <c r="H31" s="702"/>
      <c r="I31" s="702"/>
      <c r="J31" s="701"/>
    </row>
    <row r="32" spans="2:10" ht="13.5" thickBot="1">
      <c r="B32" s="697">
        <f>+B25*1.072</f>
        <v>178.6210209605941</v>
      </c>
      <c r="C32" s="710">
        <f>+C30*B32</f>
        <v>5198943.436079052</v>
      </c>
      <c r="D32" s="710">
        <f>+B32*D30</f>
        <v>1028857.0807330221</v>
      </c>
      <c r="E32" s="685"/>
      <c r="F32" s="629"/>
      <c r="H32" s="706">
        <f>+B25*1.072</f>
        <v>178.6210209605941</v>
      </c>
      <c r="I32" s="692">
        <f>+I30*H32</f>
        <v>41261.45584189724</v>
      </c>
      <c r="J32" s="692">
        <f>+H32*J30</f>
        <v>1414678.4860079053</v>
      </c>
    </row>
    <row r="33" ht="12.75">
      <c r="B33" s="728" t="s">
        <v>538</v>
      </c>
    </row>
    <row r="35" ht="12.75">
      <c r="A35" s="549" t="s">
        <v>420</v>
      </c>
    </row>
    <row r="37" spans="1:4" ht="12.75">
      <c r="A37" s="549" t="s">
        <v>441</v>
      </c>
      <c r="D37" s="634"/>
    </row>
    <row r="38" ht="12.75">
      <c r="D38" s="634"/>
    </row>
    <row r="39" spans="1:30" ht="15.75">
      <c r="A39" s="553"/>
      <c r="B39" s="554" t="s">
        <v>24</v>
      </c>
      <c r="C39" s="553"/>
      <c r="D39" s="553"/>
      <c r="E39" s="553"/>
      <c r="F39" s="553"/>
      <c r="G39" s="553"/>
      <c r="H39" s="553"/>
      <c r="I39" s="553"/>
      <c r="J39" s="553"/>
      <c r="K39" s="553"/>
      <c r="L39" s="553"/>
      <c r="M39" s="553"/>
      <c r="N39" s="553"/>
      <c r="O39" s="553"/>
      <c r="P39" s="553"/>
      <c r="Q39" s="553"/>
      <c r="R39" s="553"/>
      <c r="S39" s="554" t="s">
        <v>26</v>
      </c>
      <c r="T39" s="553"/>
      <c r="U39" s="553"/>
      <c r="V39" s="553"/>
      <c r="W39" s="553"/>
      <c r="X39" s="553"/>
      <c r="Y39" s="553"/>
      <c r="Z39" s="553"/>
      <c r="AA39" s="553"/>
      <c r="AB39" s="553"/>
      <c r="AC39" s="553"/>
      <c r="AD39" s="553"/>
    </row>
    <row r="40" spans="1:30" ht="12.75">
      <c r="A40" s="553"/>
      <c r="B40" s="555"/>
      <c r="C40" s="555"/>
      <c r="D40" s="555"/>
      <c r="E40" s="555"/>
      <c r="F40" s="553"/>
      <c r="G40" s="553"/>
      <c r="H40" s="553"/>
      <c r="I40" s="553"/>
      <c r="J40" s="553"/>
      <c r="K40" s="553"/>
      <c r="L40" s="553"/>
      <c r="M40" s="553"/>
      <c r="N40" s="553"/>
      <c r="O40" s="553"/>
      <c r="P40" s="553"/>
      <c r="Q40" s="553"/>
      <c r="R40" s="553"/>
      <c r="S40" s="555"/>
      <c r="T40" s="555"/>
      <c r="U40" s="555"/>
      <c r="V40" s="555"/>
      <c r="W40" s="553"/>
      <c r="X40" s="553"/>
      <c r="Y40" s="553"/>
      <c r="Z40" s="553"/>
      <c r="AA40" s="553"/>
      <c r="AB40" s="553"/>
      <c r="AC40" s="553"/>
      <c r="AD40" s="553"/>
    </row>
    <row r="41" spans="1:33" ht="12.75">
      <c r="A41" s="556" t="s">
        <v>378</v>
      </c>
      <c r="B41" s="557"/>
      <c r="C41" s="558" t="s">
        <v>379</v>
      </c>
      <c r="D41" s="559"/>
      <c r="E41" s="560"/>
      <c r="F41" s="561" t="s">
        <v>380</v>
      </c>
      <c r="G41" s="562"/>
      <c r="H41" s="563"/>
      <c r="I41" s="564" t="s">
        <v>381</v>
      </c>
      <c r="J41" s="565"/>
      <c r="K41" s="563"/>
      <c r="L41" s="564" t="s">
        <v>417</v>
      </c>
      <c r="M41" s="565"/>
      <c r="N41" s="563"/>
      <c r="O41" s="564" t="s">
        <v>418</v>
      </c>
      <c r="P41" s="565"/>
      <c r="Q41" s="553"/>
      <c r="R41" s="556" t="s">
        <v>378</v>
      </c>
      <c r="S41" s="557"/>
      <c r="T41" s="558" t="s">
        <v>379</v>
      </c>
      <c r="U41" s="559"/>
      <c r="V41" s="560"/>
      <c r="W41" s="561" t="s">
        <v>380</v>
      </c>
      <c r="X41" s="562"/>
      <c r="Y41" s="563"/>
      <c r="Z41" s="564" t="s">
        <v>381</v>
      </c>
      <c r="AA41" s="565"/>
      <c r="AB41" s="563"/>
      <c r="AC41" s="564" t="s">
        <v>417</v>
      </c>
      <c r="AD41" s="565"/>
      <c r="AE41" s="563"/>
      <c r="AF41" s="564" t="s">
        <v>418</v>
      </c>
      <c r="AG41" s="565"/>
    </row>
    <row r="42" spans="1:33" ht="12.75">
      <c r="A42" s="566" t="s">
        <v>382</v>
      </c>
      <c r="B42" s="567" t="s">
        <v>383</v>
      </c>
      <c r="C42" s="567" t="s">
        <v>384</v>
      </c>
      <c r="D42" s="567" t="s">
        <v>195</v>
      </c>
      <c r="E42" s="567" t="s">
        <v>383</v>
      </c>
      <c r="F42" s="567" t="s">
        <v>384</v>
      </c>
      <c r="G42" s="567" t="s">
        <v>195</v>
      </c>
      <c r="H42" s="568" t="s">
        <v>383</v>
      </c>
      <c r="I42" s="568" t="s">
        <v>384</v>
      </c>
      <c r="J42" s="568" t="s">
        <v>195</v>
      </c>
      <c r="K42" s="568" t="s">
        <v>383</v>
      </c>
      <c r="L42" s="568" t="s">
        <v>384</v>
      </c>
      <c r="M42" s="568" t="s">
        <v>195</v>
      </c>
      <c r="N42" s="568" t="s">
        <v>383</v>
      </c>
      <c r="O42" s="568" t="s">
        <v>384</v>
      </c>
      <c r="P42" s="568" t="s">
        <v>195</v>
      </c>
      <c r="Q42" s="553"/>
      <c r="R42" s="566" t="s">
        <v>385</v>
      </c>
      <c r="S42" s="567" t="s">
        <v>386</v>
      </c>
      <c r="T42" s="567" t="s">
        <v>384</v>
      </c>
      <c r="U42" s="567" t="s">
        <v>195</v>
      </c>
      <c r="V42" s="567" t="s">
        <v>386</v>
      </c>
      <c r="W42" s="567" t="s">
        <v>384</v>
      </c>
      <c r="X42" s="567" t="s">
        <v>195</v>
      </c>
      <c r="Y42" s="568" t="s">
        <v>386</v>
      </c>
      <c r="Z42" s="568" t="s">
        <v>384</v>
      </c>
      <c r="AA42" s="568" t="s">
        <v>195</v>
      </c>
      <c r="AB42" s="568" t="s">
        <v>386</v>
      </c>
      <c r="AC42" s="568" t="s">
        <v>384</v>
      </c>
      <c r="AD42" s="568" t="s">
        <v>195</v>
      </c>
      <c r="AE42" s="568" t="s">
        <v>383</v>
      </c>
      <c r="AF42" s="568" t="s">
        <v>384</v>
      </c>
      <c r="AG42" s="568" t="s">
        <v>195</v>
      </c>
    </row>
    <row r="43" spans="1:33" ht="12.75">
      <c r="A43" s="570" t="s">
        <v>387</v>
      </c>
      <c r="B43" s="571">
        <v>1645</v>
      </c>
      <c r="C43" s="572">
        <v>146</v>
      </c>
      <c r="D43" s="571">
        <f>+B43*C43</f>
        <v>240170</v>
      </c>
      <c r="E43" s="571">
        <v>1810</v>
      </c>
      <c r="F43" s="573">
        <v>148</v>
      </c>
      <c r="G43" s="574">
        <f>+E43*F43</f>
        <v>267880</v>
      </c>
      <c r="H43" s="575">
        <v>977</v>
      </c>
      <c r="I43" s="576">
        <f aca="true" t="shared" si="0" ref="I43:I54">+J43/H43</f>
        <v>165.59877175025588</v>
      </c>
      <c r="J43" s="577">
        <v>161790</v>
      </c>
      <c r="K43" s="575">
        <v>1166</v>
      </c>
      <c r="L43" s="576">
        <f aca="true" t="shared" si="1" ref="L43:L49">+M43/K43</f>
        <v>152.2607204116638</v>
      </c>
      <c r="M43" s="577">
        <v>177536</v>
      </c>
      <c r="N43" s="575">
        <f>+(B43+E43+H43+K43)/4</f>
        <v>1399.5</v>
      </c>
      <c r="O43" s="576">
        <f>152*1.072</f>
        <v>162.94400000000002</v>
      </c>
      <c r="P43" s="577">
        <f>+N43*O43</f>
        <v>228040.12800000003</v>
      </c>
      <c r="Q43" s="553"/>
      <c r="R43" s="570" t="s">
        <v>387</v>
      </c>
      <c r="S43" s="578">
        <v>120</v>
      </c>
      <c r="T43" s="572">
        <v>481</v>
      </c>
      <c r="U43" s="570">
        <f>+S43*T43</f>
        <v>57720</v>
      </c>
      <c r="V43" s="578">
        <v>185</v>
      </c>
      <c r="W43" s="572">
        <v>497</v>
      </c>
      <c r="X43" s="574">
        <f>+V43*W43</f>
        <v>91945</v>
      </c>
      <c r="Y43" s="575">
        <v>210</v>
      </c>
      <c r="Z43" s="579">
        <v>515</v>
      </c>
      <c r="AA43" s="577">
        <f>+Y43*Z43</f>
        <v>108150</v>
      </c>
      <c r="AB43" s="575">
        <v>243.41</v>
      </c>
      <c r="AC43" s="576">
        <f aca="true" t="shared" si="2" ref="AC43:AC49">+AD43/AB43</f>
        <v>503.4016679676266</v>
      </c>
      <c r="AD43" s="577">
        <v>122533</v>
      </c>
      <c r="AE43" s="575">
        <f>+(S43+V43+Y43+AB43)/4</f>
        <v>189.6025</v>
      </c>
      <c r="AF43" s="576">
        <f>620*1.072</f>
        <v>664.64</v>
      </c>
      <c r="AG43" s="577">
        <f>+AE43*AF43</f>
        <v>126017.4056</v>
      </c>
    </row>
    <row r="44" spans="1:33" ht="12.75">
      <c r="A44" s="570" t="s">
        <v>388</v>
      </c>
      <c r="B44" s="571">
        <v>1629</v>
      </c>
      <c r="C44" s="572">
        <v>146</v>
      </c>
      <c r="D44" s="571">
        <f aca="true" t="shared" si="3" ref="D44:D54">+B44*C44</f>
        <v>237834</v>
      </c>
      <c r="E44" s="571">
        <v>1568</v>
      </c>
      <c r="F44" s="573">
        <v>148</v>
      </c>
      <c r="G44" s="574">
        <f>+E44*F44</f>
        <v>232064</v>
      </c>
      <c r="H44" s="575">
        <v>1053</v>
      </c>
      <c r="I44" s="576">
        <f t="shared" si="0"/>
        <v>174.71320037986703</v>
      </c>
      <c r="J44" s="577">
        <v>183973</v>
      </c>
      <c r="K44" s="575">
        <v>1092</v>
      </c>
      <c r="L44" s="576">
        <f t="shared" si="1"/>
        <v>162.57875457875457</v>
      </c>
      <c r="M44" s="577">
        <v>177536</v>
      </c>
      <c r="N44" s="575">
        <f aca="true" t="shared" si="4" ref="N44:N54">+(B44+E44+H44+K44)/4</f>
        <v>1335.5</v>
      </c>
      <c r="O44" s="576">
        <f aca="true" t="shared" si="5" ref="O44:O54">152*1.072</f>
        <v>162.94400000000002</v>
      </c>
      <c r="P44" s="577">
        <f aca="true" t="shared" si="6" ref="P44:P54">+(D44+G44+J44+M44)/4</f>
        <v>207851.75</v>
      </c>
      <c r="Q44" s="553"/>
      <c r="R44" s="570" t="s">
        <v>388</v>
      </c>
      <c r="S44" s="578">
        <v>168</v>
      </c>
      <c r="T44" s="572">
        <v>481</v>
      </c>
      <c r="U44" s="570">
        <f aca="true" t="shared" si="7" ref="U44:U54">+S44*T44</f>
        <v>80808</v>
      </c>
      <c r="V44" s="578">
        <v>172</v>
      </c>
      <c r="W44" s="572">
        <v>497</v>
      </c>
      <c r="X44" s="574">
        <f aca="true" t="shared" si="8" ref="X44:X54">+V44*W44</f>
        <v>85484</v>
      </c>
      <c r="Y44" s="575">
        <v>170</v>
      </c>
      <c r="Z44" s="579">
        <v>515</v>
      </c>
      <c r="AA44" s="577">
        <f aca="true" t="shared" si="9" ref="AA44:AA49">+Y44*Z44</f>
        <v>87550</v>
      </c>
      <c r="AB44" s="575">
        <v>269.61</v>
      </c>
      <c r="AC44" s="576">
        <f t="shared" si="2"/>
        <v>559.1632357850228</v>
      </c>
      <c r="AD44" s="577">
        <v>150756</v>
      </c>
      <c r="AE44" s="575">
        <f aca="true" t="shared" si="10" ref="AE44:AE54">+(S44+V44+Y44+AB44)/4</f>
        <v>194.9025</v>
      </c>
      <c r="AF44" s="576">
        <v>665</v>
      </c>
      <c r="AG44" s="577">
        <f aca="true" t="shared" si="11" ref="AG44:AG54">+AE44*AF44</f>
        <v>129610.1625</v>
      </c>
    </row>
    <row r="45" spans="1:33" ht="12.75">
      <c r="A45" s="570" t="s">
        <v>389</v>
      </c>
      <c r="B45" s="571">
        <v>1102</v>
      </c>
      <c r="C45" s="572">
        <v>146</v>
      </c>
      <c r="D45" s="571">
        <f t="shared" si="3"/>
        <v>160892</v>
      </c>
      <c r="E45" s="571">
        <v>1791</v>
      </c>
      <c r="F45" s="573">
        <v>148</v>
      </c>
      <c r="G45" s="574">
        <f>+E45*F45</f>
        <v>265068</v>
      </c>
      <c r="H45" s="575">
        <v>1231</v>
      </c>
      <c r="I45" s="576">
        <f t="shared" si="0"/>
        <v>148.1072298943948</v>
      </c>
      <c r="J45" s="577">
        <v>182320</v>
      </c>
      <c r="K45" s="575">
        <v>1411</v>
      </c>
      <c r="L45" s="576">
        <f t="shared" si="1"/>
        <v>152.33026222537208</v>
      </c>
      <c r="M45" s="577">
        <v>214938</v>
      </c>
      <c r="N45" s="575">
        <f t="shared" si="4"/>
        <v>1383.75</v>
      </c>
      <c r="O45" s="576">
        <f t="shared" si="5"/>
        <v>162.94400000000002</v>
      </c>
      <c r="P45" s="577">
        <f t="shared" si="6"/>
        <v>205804.5</v>
      </c>
      <c r="Q45" s="553"/>
      <c r="R45" s="570" t="s">
        <v>389</v>
      </c>
      <c r="S45" s="578">
        <v>185</v>
      </c>
      <c r="T45" s="572">
        <v>481</v>
      </c>
      <c r="U45" s="570">
        <f t="shared" si="7"/>
        <v>88985</v>
      </c>
      <c r="V45" s="578">
        <v>190</v>
      </c>
      <c r="W45" s="572">
        <v>497</v>
      </c>
      <c r="X45" s="574">
        <f t="shared" si="8"/>
        <v>94430</v>
      </c>
      <c r="Y45" s="575">
        <v>182</v>
      </c>
      <c r="Z45" s="579">
        <v>515</v>
      </c>
      <c r="AA45" s="577">
        <f t="shared" si="9"/>
        <v>93730</v>
      </c>
      <c r="AB45" s="631">
        <v>408.266</v>
      </c>
      <c r="AC45" s="576">
        <f t="shared" si="2"/>
        <v>595.381442490925</v>
      </c>
      <c r="AD45" s="577">
        <v>243074</v>
      </c>
      <c r="AE45" s="575">
        <f t="shared" si="10"/>
        <v>241.31650000000002</v>
      </c>
      <c r="AF45" s="576">
        <v>665</v>
      </c>
      <c r="AG45" s="577">
        <f t="shared" si="11"/>
        <v>160475.4725</v>
      </c>
    </row>
    <row r="46" spans="1:33" ht="12.75">
      <c r="A46" s="570" t="s">
        <v>390</v>
      </c>
      <c r="B46" s="571">
        <v>2422</v>
      </c>
      <c r="C46" s="572">
        <v>146</v>
      </c>
      <c r="D46" s="571">
        <f t="shared" si="3"/>
        <v>353612</v>
      </c>
      <c r="E46" s="571">
        <v>1444</v>
      </c>
      <c r="F46" s="573">
        <v>148</v>
      </c>
      <c r="G46" s="574">
        <f>+E46*F46</f>
        <v>213712</v>
      </c>
      <c r="H46" s="575">
        <v>1076</v>
      </c>
      <c r="I46" s="576">
        <f t="shared" si="0"/>
        <v>143.7267657992565</v>
      </c>
      <c r="J46" s="577">
        <v>154650</v>
      </c>
      <c r="K46" s="575">
        <v>2106</v>
      </c>
      <c r="L46" s="576">
        <f t="shared" si="1"/>
        <v>140.00617283950618</v>
      </c>
      <c r="M46" s="577">
        <v>294853</v>
      </c>
      <c r="N46" s="575">
        <f t="shared" si="4"/>
        <v>1762</v>
      </c>
      <c r="O46" s="576">
        <f t="shared" si="5"/>
        <v>162.94400000000002</v>
      </c>
      <c r="P46" s="577">
        <f t="shared" si="6"/>
        <v>254206.75</v>
      </c>
      <c r="Q46" s="553"/>
      <c r="R46" s="570" t="s">
        <v>390</v>
      </c>
      <c r="S46" s="578">
        <v>290</v>
      </c>
      <c r="T46" s="572">
        <v>481</v>
      </c>
      <c r="U46" s="570">
        <f t="shared" si="7"/>
        <v>139490</v>
      </c>
      <c r="V46" s="578">
        <v>290</v>
      </c>
      <c r="W46" s="572">
        <v>497</v>
      </c>
      <c r="X46" s="574">
        <f t="shared" si="8"/>
        <v>144130</v>
      </c>
      <c r="Y46" s="575">
        <v>190</v>
      </c>
      <c r="Z46" s="579">
        <v>515</v>
      </c>
      <c r="AA46" s="577">
        <f t="shared" si="9"/>
        <v>97850</v>
      </c>
      <c r="AB46" s="631">
        <v>340.72</v>
      </c>
      <c r="AC46" s="576">
        <f t="shared" si="2"/>
        <v>593.2671988729749</v>
      </c>
      <c r="AD46" s="577">
        <v>202138</v>
      </c>
      <c r="AE46" s="575">
        <f t="shared" si="10"/>
        <v>277.68</v>
      </c>
      <c r="AF46" s="576">
        <v>665</v>
      </c>
      <c r="AG46" s="577">
        <f t="shared" si="11"/>
        <v>184657.2</v>
      </c>
    </row>
    <row r="47" spans="1:33" ht="12.75">
      <c r="A47" s="570" t="s">
        <v>391</v>
      </c>
      <c r="B47" s="571">
        <v>1645</v>
      </c>
      <c r="C47" s="572">
        <v>146</v>
      </c>
      <c r="D47" s="571">
        <f t="shared" si="3"/>
        <v>240170</v>
      </c>
      <c r="E47" s="571">
        <v>1638</v>
      </c>
      <c r="F47" s="573">
        <v>148</v>
      </c>
      <c r="G47" s="574">
        <f>+E47*F47</f>
        <v>242424</v>
      </c>
      <c r="H47" s="575">
        <v>1263</v>
      </c>
      <c r="I47" s="576">
        <f t="shared" si="0"/>
        <v>165.72209026128266</v>
      </c>
      <c r="J47" s="577">
        <v>209307</v>
      </c>
      <c r="K47" s="575">
        <v>1562</v>
      </c>
      <c r="L47" s="576">
        <f t="shared" si="1"/>
        <v>141.45454545454547</v>
      </c>
      <c r="M47" s="577">
        <v>220952</v>
      </c>
      <c r="N47" s="575">
        <f t="shared" si="4"/>
        <v>1527</v>
      </c>
      <c r="O47" s="576">
        <f t="shared" si="5"/>
        <v>162.94400000000002</v>
      </c>
      <c r="P47" s="577">
        <f t="shared" si="6"/>
        <v>228213.25</v>
      </c>
      <c r="Q47" s="553"/>
      <c r="R47" s="570" t="s">
        <v>391</v>
      </c>
      <c r="S47" s="578">
        <v>585</v>
      </c>
      <c r="T47" s="572">
        <v>481</v>
      </c>
      <c r="U47" s="570">
        <f t="shared" si="7"/>
        <v>281385</v>
      </c>
      <c r="V47" s="578">
        <v>590</v>
      </c>
      <c r="W47" s="572">
        <v>497</v>
      </c>
      <c r="X47" s="574">
        <f t="shared" si="8"/>
        <v>293230</v>
      </c>
      <c r="Y47" s="575">
        <v>280</v>
      </c>
      <c r="Z47" s="579">
        <v>515</v>
      </c>
      <c r="AA47" s="577">
        <f t="shared" si="9"/>
        <v>144200</v>
      </c>
      <c r="AB47" s="575">
        <v>504.61</v>
      </c>
      <c r="AC47" s="576">
        <f t="shared" si="2"/>
        <v>568.2309110005747</v>
      </c>
      <c r="AD47" s="577">
        <v>286735</v>
      </c>
      <c r="AE47" s="575">
        <f t="shared" si="10"/>
        <v>489.90250000000003</v>
      </c>
      <c r="AF47" s="576">
        <v>665</v>
      </c>
      <c r="AG47" s="577">
        <f t="shared" si="11"/>
        <v>325785.16250000003</v>
      </c>
    </row>
    <row r="48" spans="1:33" ht="12.75">
      <c r="A48" s="570" t="s">
        <v>392</v>
      </c>
      <c r="B48" s="571">
        <v>1894</v>
      </c>
      <c r="C48" s="572">
        <v>146</v>
      </c>
      <c r="D48" s="571">
        <f t="shared" si="3"/>
        <v>276524</v>
      </c>
      <c r="E48" s="571">
        <v>2176</v>
      </c>
      <c r="F48" s="580">
        <f>+G48/E48</f>
        <v>129.27573529411765</v>
      </c>
      <c r="G48" s="581">
        <v>281304</v>
      </c>
      <c r="H48" s="575">
        <v>1484</v>
      </c>
      <c r="I48" s="576">
        <f t="shared" si="0"/>
        <v>136.24056603773585</v>
      </c>
      <c r="J48" s="577">
        <v>202181</v>
      </c>
      <c r="K48" s="575">
        <v>1162</v>
      </c>
      <c r="L48" s="576">
        <f t="shared" si="1"/>
        <v>132.72977624784855</v>
      </c>
      <c r="M48" s="577">
        <v>154232</v>
      </c>
      <c r="N48" s="575">
        <f t="shared" si="4"/>
        <v>1679</v>
      </c>
      <c r="O48" s="576">
        <f t="shared" si="5"/>
        <v>162.94400000000002</v>
      </c>
      <c r="P48" s="577">
        <f t="shared" si="6"/>
        <v>228560.25</v>
      </c>
      <c r="Q48" s="553"/>
      <c r="R48" s="570" t="s">
        <v>392</v>
      </c>
      <c r="S48" s="578">
        <v>791</v>
      </c>
      <c r="T48" s="572">
        <v>481</v>
      </c>
      <c r="U48" s="570">
        <f t="shared" si="7"/>
        <v>380471</v>
      </c>
      <c r="V48" s="578">
        <v>830</v>
      </c>
      <c r="W48" s="572">
        <v>497</v>
      </c>
      <c r="X48" s="574">
        <f t="shared" si="8"/>
        <v>412510</v>
      </c>
      <c r="Y48" s="575">
        <v>450</v>
      </c>
      <c r="Z48" s="579">
        <v>515</v>
      </c>
      <c r="AA48" s="577">
        <f t="shared" si="9"/>
        <v>231750</v>
      </c>
      <c r="AB48" s="575">
        <v>599.56</v>
      </c>
      <c r="AC48" s="576">
        <f t="shared" si="2"/>
        <v>564.5223163653346</v>
      </c>
      <c r="AD48" s="577">
        <v>338465</v>
      </c>
      <c r="AE48" s="575">
        <f t="shared" si="10"/>
        <v>667.64</v>
      </c>
      <c r="AF48" s="576">
        <v>665</v>
      </c>
      <c r="AG48" s="577">
        <f t="shared" si="11"/>
        <v>443980.6</v>
      </c>
    </row>
    <row r="49" spans="1:33" ht="12.75">
      <c r="A49" s="570" t="s">
        <v>393</v>
      </c>
      <c r="B49" s="571">
        <v>2035</v>
      </c>
      <c r="C49" s="572">
        <v>146</v>
      </c>
      <c r="D49" s="571">
        <f t="shared" si="3"/>
        <v>297110</v>
      </c>
      <c r="E49" s="571">
        <v>1916</v>
      </c>
      <c r="F49" s="580">
        <f aca="true" t="shared" si="12" ref="F49:F54">+G49/E49</f>
        <v>132.50574112734864</v>
      </c>
      <c r="G49" s="581">
        <v>253881</v>
      </c>
      <c r="H49" s="575">
        <v>1375</v>
      </c>
      <c r="I49" s="576">
        <f t="shared" si="0"/>
        <v>130.47345454545456</v>
      </c>
      <c r="J49" s="577">
        <v>179401</v>
      </c>
      <c r="K49" s="575">
        <v>778</v>
      </c>
      <c r="L49" s="576">
        <f t="shared" si="1"/>
        <v>128.69922879177378</v>
      </c>
      <c r="M49" s="577">
        <v>100128</v>
      </c>
      <c r="N49" s="575">
        <f t="shared" si="4"/>
        <v>1526</v>
      </c>
      <c r="O49" s="576">
        <f t="shared" si="5"/>
        <v>162.94400000000002</v>
      </c>
      <c r="P49" s="577">
        <f t="shared" si="6"/>
        <v>207630</v>
      </c>
      <c r="Q49" s="553"/>
      <c r="R49" s="570" t="s">
        <v>393</v>
      </c>
      <c r="S49" s="578">
        <v>932</v>
      </c>
      <c r="T49" s="572">
        <v>481</v>
      </c>
      <c r="U49" s="570">
        <f t="shared" si="7"/>
        <v>448292</v>
      </c>
      <c r="V49" s="578">
        <v>898</v>
      </c>
      <c r="W49" s="572">
        <v>497</v>
      </c>
      <c r="X49" s="574">
        <f t="shared" si="8"/>
        <v>446306</v>
      </c>
      <c r="Y49" s="575">
        <v>490</v>
      </c>
      <c r="Z49" s="579">
        <v>515</v>
      </c>
      <c r="AA49" s="577">
        <f t="shared" si="9"/>
        <v>252350</v>
      </c>
      <c r="AB49" s="575">
        <v>878.29</v>
      </c>
      <c r="AC49" s="576">
        <f t="shared" si="2"/>
        <v>620.0503250634756</v>
      </c>
      <c r="AD49" s="577">
        <v>544584</v>
      </c>
      <c r="AE49" s="575">
        <f t="shared" si="10"/>
        <v>799.5725</v>
      </c>
      <c r="AF49" s="576">
        <v>665</v>
      </c>
      <c r="AG49" s="577">
        <f t="shared" si="11"/>
        <v>531715.7125</v>
      </c>
    </row>
    <row r="50" spans="1:33" ht="12.75">
      <c r="A50" s="570" t="s">
        <v>394</v>
      </c>
      <c r="B50" s="571">
        <v>2065</v>
      </c>
      <c r="C50" s="572">
        <v>146</v>
      </c>
      <c r="D50" s="571">
        <f t="shared" si="3"/>
        <v>301490</v>
      </c>
      <c r="E50" s="571">
        <v>1897</v>
      </c>
      <c r="F50" s="580">
        <f t="shared" si="12"/>
        <v>135.69109119662625</v>
      </c>
      <c r="G50" s="581">
        <v>257406</v>
      </c>
      <c r="H50" s="612">
        <v>653</v>
      </c>
      <c r="I50" s="576">
        <f>+J50/H50</f>
        <v>130.37978560490046</v>
      </c>
      <c r="J50" s="577">
        <v>85138</v>
      </c>
      <c r="K50" s="575">
        <f aca="true" t="shared" si="13" ref="K50:L54">+(B50+E50+H50)/3</f>
        <v>1538.3333333333333</v>
      </c>
      <c r="L50" s="576">
        <f t="shared" si="13"/>
        <v>137.35695893384224</v>
      </c>
      <c r="M50" s="577">
        <f>+K50*L50</f>
        <v>211300.7884932273</v>
      </c>
      <c r="N50" s="575">
        <f t="shared" si="4"/>
        <v>1538.3333333333333</v>
      </c>
      <c r="O50" s="576">
        <f t="shared" si="5"/>
        <v>162.94400000000002</v>
      </c>
      <c r="P50" s="577">
        <f t="shared" si="6"/>
        <v>213833.69712330683</v>
      </c>
      <c r="Q50" s="553"/>
      <c r="R50" s="570" t="s">
        <v>394</v>
      </c>
      <c r="S50" s="582">
        <v>787</v>
      </c>
      <c r="T50" s="572">
        <v>481</v>
      </c>
      <c r="U50" s="570">
        <f t="shared" si="7"/>
        <v>378547</v>
      </c>
      <c r="V50" s="582">
        <v>815</v>
      </c>
      <c r="W50" s="572">
        <v>497</v>
      </c>
      <c r="X50" s="581">
        <f t="shared" si="8"/>
        <v>405055</v>
      </c>
      <c r="Y50" s="575">
        <v>739.99</v>
      </c>
      <c r="Z50" s="576">
        <f>+AA50/Y50</f>
        <v>434.52073676671307</v>
      </c>
      <c r="AA50" s="577">
        <v>321541</v>
      </c>
      <c r="AB50" s="575">
        <f>+(S50+V50+Y50)/3</f>
        <v>780.6633333333333</v>
      </c>
      <c r="AC50" s="576">
        <v>620</v>
      </c>
      <c r="AD50" s="577">
        <f>+AB50*AC50:AC51</f>
        <v>484011.26666666666</v>
      </c>
      <c r="AE50" s="575">
        <f t="shared" si="10"/>
        <v>780.6633333333333</v>
      </c>
      <c r="AF50" s="576">
        <v>665</v>
      </c>
      <c r="AG50" s="577">
        <f t="shared" si="11"/>
        <v>519141.11666666664</v>
      </c>
    </row>
    <row r="51" spans="1:33" ht="12.75">
      <c r="A51" s="570" t="s">
        <v>395</v>
      </c>
      <c r="B51" s="571">
        <v>1918</v>
      </c>
      <c r="C51" s="572">
        <v>146</v>
      </c>
      <c r="D51" s="571">
        <f t="shared" si="3"/>
        <v>280028</v>
      </c>
      <c r="E51" s="571">
        <v>1694</v>
      </c>
      <c r="F51" s="580">
        <f t="shared" si="12"/>
        <v>134.01475796930342</v>
      </c>
      <c r="G51" s="581">
        <v>227021</v>
      </c>
      <c r="H51" s="612">
        <v>1251</v>
      </c>
      <c r="I51" s="576">
        <f t="shared" si="0"/>
        <v>138.32933653077538</v>
      </c>
      <c r="J51" s="577">
        <v>173050</v>
      </c>
      <c r="K51" s="575">
        <f t="shared" si="13"/>
        <v>1621</v>
      </c>
      <c r="L51" s="576">
        <f t="shared" si="13"/>
        <v>139.44803150002627</v>
      </c>
      <c r="M51" s="577">
        <f>+K51*L51</f>
        <v>226045.2590615426</v>
      </c>
      <c r="N51" s="575">
        <f t="shared" si="4"/>
        <v>1621</v>
      </c>
      <c r="O51" s="576">
        <f t="shared" si="5"/>
        <v>162.94400000000002</v>
      </c>
      <c r="P51" s="577">
        <f t="shared" si="6"/>
        <v>226536.06476538564</v>
      </c>
      <c r="Q51" s="553"/>
      <c r="R51" s="570" t="s">
        <v>395</v>
      </c>
      <c r="S51" s="582">
        <v>629</v>
      </c>
      <c r="T51" s="572">
        <v>481</v>
      </c>
      <c r="U51" s="570">
        <f t="shared" si="7"/>
        <v>302549</v>
      </c>
      <c r="V51" s="582">
        <v>710</v>
      </c>
      <c r="W51" s="572">
        <v>497</v>
      </c>
      <c r="X51" s="581">
        <f t="shared" si="8"/>
        <v>352870</v>
      </c>
      <c r="Y51" s="575">
        <v>819.36</v>
      </c>
      <c r="Z51" s="576">
        <f>+AA51/Y51</f>
        <v>434.08513962116774</v>
      </c>
      <c r="AA51" s="577">
        <v>355672</v>
      </c>
      <c r="AB51" s="575">
        <f>+(S51+V51+Y51)/3</f>
        <v>719.4533333333334</v>
      </c>
      <c r="AC51" s="576">
        <v>620</v>
      </c>
      <c r="AD51" s="577">
        <f>+AB51*AC51</f>
        <v>446061.0666666667</v>
      </c>
      <c r="AE51" s="575">
        <f t="shared" si="10"/>
        <v>719.4533333333334</v>
      </c>
      <c r="AF51" s="576">
        <v>665</v>
      </c>
      <c r="AG51" s="577">
        <f t="shared" si="11"/>
        <v>478436.4666666667</v>
      </c>
    </row>
    <row r="52" spans="1:33" ht="12.75">
      <c r="A52" s="570" t="s">
        <v>396</v>
      </c>
      <c r="B52" s="571">
        <v>1839</v>
      </c>
      <c r="C52" s="572">
        <v>146</v>
      </c>
      <c r="D52" s="571">
        <f t="shared" si="3"/>
        <v>268494</v>
      </c>
      <c r="E52" s="571">
        <v>1666</v>
      </c>
      <c r="F52" s="580">
        <f t="shared" si="12"/>
        <v>153.54321728691477</v>
      </c>
      <c r="G52" s="581">
        <v>255803</v>
      </c>
      <c r="H52" s="612">
        <v>1191</v>
      </c>
      <c r="I52" s="576">
        <f t="shared" si="0"/>
        <v>139.83795130142738</v>
      </c>
      <c r="J52" s="577">
        <v>166547</v>
      </c>
      <c r="K52" s="575">
        <f t="shared" si="13"/>
        <v>1565.3333333333333</v>
      </c>
      <c r="L52" s="576">
        <f t="shared" si="13"/>
        <v>146.46038952944738</v>
      </c>
      <c r="M52" s="577">
        <f>+K52*L52</f>
        <v>229259.3297434283</v>
      </c>
      <c r="N52" s="575">
        <f t="shared" si="4"/>
        <v>1565.3333333333333</v>
      </c>
      <c r="O52" s="576">
        <f t="shared" si="5"/>
        <v>162.94400000000002</v>
      </c>
      <c r="P52" s="577">
        <f t="shared" si="6"/>
        <v>230025.83243585707</v>
      </c>
      <c r="Q52" s="553"/>
      <c r="R52" s="570" t="s">
        <v>396</v>
      </c>
      <c r="S52" s="582">
        <v>465</v>
      </c>
      <c r="T52" s="572">
        <v>481</v>
      </c>
      <c r="U52" s="570">
        <f t="shared" si="7"/>
        <v>223665</v>
      </c>
      <c r="V52" s="582">
        <v>590</v>
      </c>
      <c r="W52" s="572">
        <v>497</v>
      </c>
      <c r="X52" s="581">
        <f t="shared" si="8"/>
        <v>293230</v>
      </c>
      <c r="Y52" s="575">
        <v>625.48</v>
      </c>
      <c r="Z52" s="576">
        <f>+AA52/Y52</f>
        <v>440.89499264564813</v>
      </c>
      <c r="AA52" s="577">
        <v>275771</v>
      </c>
      <c r="AB52" s="575">
        <f>+(S52+V52+Y52)/3</f>
        <v>560.16</v>
      </c>
      <c r="AC52" s="576">
        <v>620</v>
      </c>
      <c r="AD52" s="577">
        <f>+AB52*AC52</f>
        <v>347299.19999999995</v>
      </c>
      <c r="AE52" s="575">
        <f t="shared" si="10"/>
        <v>560.16</v>
      </c>
      <c r="AF52" s="576">
        <v>665</v>
      </c>
      <c r="AG52" s="577">
        <f t="shared" si="11"/>
        <v>372506.39999999997</v>
      </c>
    </row>
    <row r="53" spans="1:33" ht="12.75">
      <c r="A53" s="570" t="s">
        <v>397</v>
      </c>
      <c r="B53" s="571">
        <v>2061</v>
      </c>
      <c r="C53" s="572">
        <v>146</v>
      </c>
      <c r="D53" s="571">
        <f t="shared" si="3"/>
        <v>300906</v>
      </c>
      <c r="E53" s="571">
        <v>1535</v>
      </c>
      <c r="F53" s="580">
        <f t="shared" si="12"/>
        <v>138.2983713355049</v>
      </c>
      <c r="G53" s="581">
        <v>212288</v>
      </c>
      <c r="H53" s="612">
        <v>1126</v>
      </c>
      <c r="I53" s="576">
        <f t="shared" si="0"/>
        <v>147.30017761989342</v>
      </c>
      <c r="J53" s="577">
        <v>165860</v>
      </c>
      <c r="K53" s="575">
        <f t="shared" si="13"/>
        <v>1574</v>
      </c>
      <c r="L53" s="576">
        <f t="shared" si="13"/>
        <v>143.86618298513278</v>
      </c>
      <c r="M53" s="577">
        <f>+K53*L53</f>
        <v>226445.372018599</v>
      </c>
      <c r="N53" s="575">
        <f t="shared" si="4"/>
        <v>1574</v>
      </c>
      <c r="O53" s="576">
        <f t="shared" si="5"/>
        <v>162.94400000000002</v>
      </c>
      <c r="P53" s="577">
        <f t="shared" si="6"/>
        <v>226374.84300464974</v>
      </c>
      <c r="Q53" s="553"/>
      <c r="R53" s="570" t="s">
        <v>397</v>
      </c>
      <c r="S53" s="582">
        <v>361</v>
      </c>
      <c r="T53" s="572">
        <v>481</v>
      </c>
      <c r="U53" s="570">
        <f t="shared" si="7"/>
        <v>173641</v>
      </c>
      <c r="V53" s="582">
        <v>410</v>
      </c>
      <c r="W53" s="572">
        <v>497</v>
      </c>
      <c r="X53" s="581">
        <f t="shared" si="8"/>
        <v>203770</v>
      </c>
      <c r="Y53" s="575">
        <v>487.05</v>
      </c>
      <c r="Z53" s="576">
        <f>+AA53/Y53</f>
        <v>441.0799712555179</v>
      </c>
      <c r="AA53" s="577">
        <v>214828</v>
      </c>
      <c r="AB53" s="575">
        <f>+(S53+V53+Y53)/3</f>
        <v>419.34999999999997</v>
      </c>
      <c r="AC53" s="576">
        <v>620</v>
      </c>
      <c r="AD53" s="577">
        <f>+AB53*AC53</f>
        <v>259996.99999999997</v>
      </c>
      <c r="AE53" s="575">
        <f t="shared" si="10"/>
        <v>419.34999999999997</v>
      </c>
      <c r="AF53" s="576">
        <v>665</v>
      </c>
      <c r="AG53" s="577">
        <f t="shared" si="11"/>
        <v>278867.75</v>
      </c>
    </row>
    <row r="54" spans="1:33" ht="12.75">
      <c r="A54" s="570" t="s">
        <v>398</v>
      </c>
      <c r="B54" s="571">
        <v>1457</v>
      </c>
      <c r="C54" s="572">
        <v>146</v>
      </c>
      <c r="D54" s="571">
        <f t="shared" si="3"/>
        <v>212722</v>
      </c>
      <c r="E54" s="571">
        <v>1172</v>
      </c>
      <c r="F54" s="580">
        <f t="shared" si="12"/>
        <v>154.52986348122866</v>
      </c>
      <c r="G54" s="581">
        <v>181109</v>
      </c>
      <c r="H54" s="612">
        <v>1142</v>
      </c>
      <c r="I54" s="576">
        <f t="shared" si="0"/>
        <v>155.14798598949213</v>
      </c>
      <c r="J54" s="577">
        <v>177179</v>
      </c>
      <c r="K54" s="575">
        <f t="shared" si="13"/>
        <v>1257</v>
      </c>
      <c r="L54" s="576">
        <f t="shared" si="13"/>
        <v>151.89261649024024</v>
      </c>
      <c r="M54" s="577">
        <f>+K54*L54</f>
        <v>190929.018928232</v>
      </c>
      <c r="N54" s="575">
        <f t="shared" si="4"/>
        <v>1257</v>
      </c>
      <c r="O54" s="576">
        <f t="shared" si="5"/>
        <v>162.94400000000002</v>
      </c>
      <c r="P54" s="577">
        <f t="shared" si="6"/>
        <v>190484.754732058</v>
      </c>
      <c r="Q54" s="553"/>
      <c r="R54" s="570" t="s">
        <v>398</v>
      </c>
      <c r="S54" s="582">
        <v>206</v>
      </c>
      <c r="T54" s="572">
        <v>481</v>
      </c>
      <c r="U54" s="570">
        <f t="shared" si="7"/>
        <v>99086</v>
      </c>
      <c r="V54" s="582">
        <v>350</v>
      </c>
      <c r="W54" s="572">
        <v>497</v>
      </c>
      <c r="X54" s="581">
        <f t="shared" si="8"/>
        <v>173950</v>
      </c>
      <c r="Y54" s="575">
        <v>311.64</v>
      </c>
      <c r="Z54" s="576">
        <f>+AA54/Y54</f>
        <v>448.3121550506995</v>
      </c>
      <c r="AA54" s="577">
        <v>139712</v>
      </c>
      <c r="AB54" s="575">
        <f>+(S54+V54+Y54)/3</f>
        <v>289.2133333333333</v>
      </c>
      <c r="AC54" s="576">
        <v>620</v>
      </c>
      <c r="AD54" s="577">
        <f>+AB54*AC54</f>
        <v>179312.26666666666</v>
      </c>
      <c r="AE54" s="575">
        <f t="shared" si="10"/>
        <v>289.2133333333333</v>
      </c>
      <c r="AF54" s="576">
        <v>665</v>
      </c>
      <c r="AG54" s="577">
        <f t="shared" si="11"/>
        <v>192326.86666666664</v>
      </c>
    </row>
    <row r="55" spans="1:33" ht="12.75">
      <c r="A55" s="583" t="s">
        <v>399</v>
      </c>
      <c r="B55" s="584">
        <f aca="true" t="shared" si="14" ref="B55:H55">SUM(B43:B54)</f>
        <v>21712</v>
      </c>
      <c r="C55" s="584">
        <f t="shared" si="14"/>
        <v>1752</v>
      </c>
      <c r="D55" s="584">
        <f t="shared" si="14"/>
        <v>3169952</v>
      </c>
      <c r="E55" s="584">
        <f t="shared" si="14"/>
        <v>20307</v>
      </c>
      <c r="F55" s="614">
        <f>+G55/E55</f>
        <v>142.31348795981683</v>
      </c>
      <c r="G55" s="584">
        <f t="shared" si="14"/>
        <v>2889960</v>
      </c>
      <c r="H55" s="615">
        <f t="shared" si="14"/>
        <v>13822</v>
      </c>
      <c r="I55" s="616">
        <f>+J55/H55</f>
        <v>147.69179568803358</v>
      </c>
      <c r="J55" s="615">
        <f>SUM(J43:J54)</f>
        <v>2041396</v>
      </c>
      <c r="K55" s="615">
        <f>SUM(K43:K54)</f>
        <v>16832.666666666668</v>
      </c>
      <c r="L55" s="616">
        <f>+M55/K55</f>
        <v>144.01489771347553</v>
      </c>
      <c r="M55" s="615">
        <f>SUM(M43:M54)</f>
        <v>2424154.7682450293</v>
      </c>
      <c r="N55" s="586">
        <f>SUM(N43:N54)</f>
        <v>18168.416666666668</v>
      </c>
      <c r="O55" s="623">
        <v>161</v>
      </c>
      <c r="P55" s="586">
        <f>SUM(P43:P54)</f>
        <v>2647561.8200612576</v>
      </c>
      <c r="Q55" s="553"/>
      <c r="R55" s="583" t="s">
        <v>399</v>
      </c>
      <c r="S55" s="587">
        <f>SUM(S43:S54)</f>
        <v>5519</v>
      </c>
      <c r="T55" s="585"/>
      <c r="U55" s="584">
        <f>SUM(U43:U54)</f>
        <v>2654639</v>
      </c>
      <c r="V55" s="587">
        <f>SUM(V43:V54)</f>
        <v>6030</v>
      </c>
      <c r="W55" s="567"/>
      <c r="X55" s="584">
        <f>SUM(X43:X54)</f>
        <v>2996910</v>
      </c>
      <c r="Y55" s="615">
        <f>SUM(Y43:Y54)</f>
        <v>4955.52</v>
      </c>
      <c r="Z55" s="619"/>
      <c r="AA55" s="615">
        <f>SUM(AA43:AA54)</f>
        <v>2323104</v>
      </c>
      <c r="AB55" s="615">
        <f>SUM(AB43:AB54)</f>
        <v>6013.3060000000005</v>
      </c>
      <c r="AC55" s="619"/>
      <c r="AD55" s="615">
        <f>SUM(AD43:AD54)</f>
        <v>3604965.8</v>
      </c>
      <c r="AE55" s="586">
        <f>SUM(AE43:AE54)</f>
        <v>5629.4565</v>
      </c>
      <c r="AF55" s="623">
        <v>655</v>
      </c>
      <c r="AG55" s="586">
        <f>SUM(AG43:AG54)</f>
        <v>3743520.3156</v>
      </c>
    </row>
    <row r="56" spans="1:33" ht="12.75">
      <c r="A56" s="553"/>
      <c r="B56" s="553"/>
      <c r="C56" s="553"/>
      <c r="D56" s="583" t="s">
        <v>400</v>
      </c>
      <c r="E56" s="574">
        <f>+E43+E44+E45+E54</f>
        <v>6341</v>
      </c>
      <c r="F56" s="613"/>
      <c r="G56" s="574">
        <f>+G43+G44+G45+G54</f>
        <v>946121</v>
      </c>
      <c r="H56" s="577">
        <f>+H43+H44+H45+H54</f>
        <v>4403</v>
      </c>
      <c r="I56" s="617"/>
      <c r="J56" s="618" t="s">
        <v>400</v>
      </c>
      <c r="K56" s="577">
        <f>+K43+K44+K45+K54</f>
        <v>4926</v>
      </c>
      <c r="L56" s="617"/>
      <c r="M56" s="577">
        <f>+M43+M44+M45+M54</f>
        <v>760939.018928232</v>
      </c>
      <c r="N56" s="620">
        <f>+N43+N44+N45+N54</f>
        <v>5375.75</v>
      </c>
      <c r="O56" s="569" t="s">
        <v>419</v>
      </c>
      <c r="P56" s="622">
        <f>+P43+P44+P45+P54</f>
        <v>832181.1327320581</v>
      </c>
      <c r="Q56" s="553"/>
      <c r="R56" s="553"/>
      <c r="S56" s="553"/>
      <c r="T56" s="553"/>
      <c r="U56" s="583" t="s">
        <v>400</v>
      </c>
      <c r="V56" s="574">
        <f>+V43+V44+V45+V54</f>
        <v>897</v>
      </c>
      <c r="W56" s="572">
        <f>+W55/12</f>
        <v>0</v>
      </c>
      <c r="X56" s="583" t="s">
        <v>400</v>
      </c>
      <c r="Y56" s="577">
        <f>+Y43+Y44+Y45+Y54</f>
        <v>873.64</v>
      </c>
      <c r="Z56" s="617"/>
      <c r="AA56" s="618" t="s">
        <v>400</v>
      </c>
      <c r="AB56" s="577">
        <f>+AB43+AB44+AB45+AB54</f>
        <v>1210.4993333333334</v>
      </c>
      <c r="AC56" s="617"/>
      <c r="AD56" s="577">
        <f>+AD43+AD44+AD45+AD54</f>
        <v>695675.2666666666</v>
      </c>
      <c r="AE56" s="620">
        <f>+AE43+AE44+AE45+AE54</f>
        <v>915.0348333333334</v>
      </c>
      <c r="AF56" s="569" t="s">
        <v>419</v>
      </c>
      <c r="AG56" s="622">
        <f>+AG43+AG44+AG45+AG54</f>
        <v>608429.9072666666</v>
      </c>
    </row>
    <row r="57" spans="1:33" ht="13.5" thickBot="1">
      <c r="A57" s="553"/>
      <c r="B57" s="553"/>
      <c r="C57" s="553"/>
      <c r="D57" s="583" t="s">
        <v>401</v>
      </c>
      <c r="E57" s="574">
        <f>SUM(E46:E53)</f>
        <v>13966</v>
      </c>
      <c r="F57" s="588"/>
      <c r="G57" s="574">
        <f>SUM(G46:G53)</f>
        <v>1943839</v>
      </c>
      <c r="H57" s="577">
        <f>SUM(H46:H53)</f>
        <v>9419</v>
      </c>
      <c r="I57" s="617"/>
      <c r="J57" s="618" t="s">
        <v>401</v>
      </c>
      <c r="K57" s="577">
        <f>SUM(K46:K53)</f>
        <v>11906.666666666666</v>
      </c>
      <c r="L57" s="617"/>
      <c r="M57" s="577">
        <f>SUM(M46:M53)</f>
        <v>1663215.7493167974</v>
      </c>
      <c r="N57" s="620">
        <f>SUM(N46:N53)</f>
        <v>12792.666666666666</v>
      </c>
      <c r="O57" s="624">
        <v>0.072</v>
      </c>
      <c r="P57" s="626">
        <f>SUM(P46:P53)</f>
        <v>1815380.6873291992</v>
      </c>
      <c r="Q57" s="553"/>
      <c r="R57" s="553"/>
      <c r="S57" s="553"/>
      <c r="T57" s="553"/>
      <c r="U57" s="583" t="s">
        <v>401</v>
      </c>
      <c r="V57" s="574">
        <f>SUM(V46:V53)</f>
        <v>5133</v>
      </c>
      <c r="W57" s="588">
        <v>0.034</v>
      </c>
      <c r="X57" s="583" t="s">
        <v>401</v>
      </c>
      <c r="Y57" s="577">
        <f>SUM(Y46:Y53)</f>
        <v>4081.88</v>
      </c>
      <c r="Z57" s="617"/>
      <c r="AA57" s="618" t="s">
        <v>401</v>
      </c>
      <c r="AB57" s="577">
        <f>SUM(AB46:AB53)</f>
        <v>4802.806666666667</v>
      </c>
      <c r="AC57" s="617"/>
      <c r="AD57" s="577">
        <f>SUM(AD46:AD53)</f>
        <v>2909290.533333333</v>
      </c>
      <c r="AE57" s="620">
        <f>SUM(AE46:AE53)</f>
        <v>4714.421666666667</v>
      </c>
      <c r="AF57" s="624">
        <v>0.072</v>
      </c>
      <c r="AG57" s="626">
        <f>SUM(AG46:AG53)</f>
        <v>3135090.408333333</v>
      </c>
    </row>
    <row r="58" spans="1:33" ht="13.5" thickBot="1">
      <c r="A58" s="553"/>
      <c r="B58" s="553"/>
      <c r="C58" s="553"/>
      <c r="D58" s="585" t="s">
        <v>402</v>
      </c>
      <c r="E58" s="584">
        <f>+E56+E57</f>
        <v>20307</v>
      </c>
      <c r="F58" s="589"/>
      <c r="G58" s="584">
        <f>+G56+G57</f>
        <v>2889960</v>
      </c>
      <c r="H58" s="615">
        <f>+H56+H57</f>
        <v>13822</v>
      </c>
      <c r="I58" s="617"/>
      <c r="J58" s="619" t="s">
        <v>402</v>
      </c>
      <c r="K58" s="615">
        <f>+K56+K57</f>
        <v>16832.666666666664</v>
      </c>
      <c r="L58" s="617"/>
      <c r="M58" s="615">
        <f>+M56+M57</f>
        <v>2424154.7682450293</v>
      </c>
      <c r="N58" s="621">
        <f>+N56+N57</f>
        <v>18168.416666666664</v>
      </c>
      <c r="O58" s="625">
        <v>163</v>
      </c>
      <c r="P58" s="627">
        <f>+N58*O58</f>
        <v>2961451.916666666</v>
      </c>
      <c r="Q58" s="553"/>
      <c r="R58" s="553"/>
      <c r="S58" s="553"/>
      <c r="T58" s="553"/>
      <c r="U58" s="585" t="s">
        <v>402</v>
      </c>
      <c r="V58" s="584">
        <f>+V56+V57</f>
        <v>6030</v>
      </c>
      <c r="W58" s="585">
        <f>+W56*1.037</f>
        <v>0</v>
      </c>
      <c r="X58" s="585" t="s">
        <v>402</v>
      </c>
      <c r="Y58" s="615">
        <f>+Y56+Y57</f>
        <v>4955.52</v>
      </c>
      <c r="Z58" s="617"/>
      <c r="AA58" s="619" t="s">
        <v>402</v>
      </c>
      <c r="AB58" s="615">
        <f>+AB56+AB57</f>
        <v>6013.3060000000005</v>
      </c>
      <c r="AC58" s="617"/>
      <c r="AD58" s="615">
        <f>+AD56+AD57</f>
        <v>3604965.8</v>
      </c>
      <c r="AE58" s="621">
        <f>+AE56+AE57</f>
        <v>5629.4565</v>
      </c>
      <c r="AF58" s="625">
        <v>665</v>
      </c>
      <c r="AG58" s="627">
        <f>+AE58*AF58</f>
        <v>3743588.5725000002</v>
      </c>
    </row>
    <row r="59" spans="1:30" ht="12.75">
      <c r="A59" s="553"/>
      <c r="B59" s="553"/>
      <c r="C59" s="553"/>
      <c r="D59" s="553"/>
      <c r="E59" s="553"/>
      <c r="F59" s="553"/>
      <c r="G59" s="553"/>
      <c r="H59" s="553"/>
      <c r="I59" s="553"/>
      <c r="J59" s="553"/>
      <c r="K59" s="553"/>
      <c r="L59" s="553"/>
      <c r="M59" s="553"/>
      <c r="N59" s="553"/>
      <c r="O59" s="553"/>
      <c r="P59" s="553"/>
      <c r="Q59" s="553"/>
      <c r="R59" s="553"/>
      <c r="S59" s="553"/>
      <c r="T59" s="553"/>
      <c r="U59" s="553"/>
      <c r="V59" s="553"/>
      <c r="W59" s="553"/>
      <c r="X59" s="553"/>
      <c r="Y59" s="553"/>
      <c r="Z59" s="553"/>
      <c r="AA59" s="553"/>
      <c r="AB59" s="553"/>
      <c r="AC59" s="553"/>
      <c r="AD59" s="590"/>
    </row>
    <row r="60" spans="1:30" ht="12.75">
      <c r="A60" s="553"/>
      <c r="B60" s="553"/>
      <c r="C60" s="553"/>
      <c r="D60" s="553"/>
      <c r="E60" s="553"/>
      <c r="F60" s="553"/>
      <c r="G60" s="553"/>
      <c r="H60" s="553"/>
      <c r="I60" s="553"/>
      <c r="J60" s="553"/>
      <c r="K60" s="553"/>
      <c r="L60" s="553"/>
      <c r="M60" s="553"/>
      <c r="N60" s="553"/>
      <c r="O60" s="553"/>
      <c r="P60" s="553"/>
      <c r="Q60" s="553"/>
      <c r="R60" s="553"/>
      <c r="S60" s="553"/>
      <c r="T60" s="553"/>
      <c r="U60" s="553"/>
      <c r="V60" s="553"/>
      <c r="W60" s="553"/>
      <c r="X60" s="553"/>
      <c r="Y60" s="553"/>
      <c r="Z60" s="553"/>
      <c r="AA60" s="553"/>
      <c r="AB60" s="553"/>
      <c r="AC60" s="553"/>
      <c r="AD60" s="553"/>
    </row>
    <row r="61" spans="1:30" ht="12.75">
      <c r="A61" s="553"/>
      <c r="B61" s="553"/>
      <c r="C61" s="553"/>
      <c r="D61" s="553"/>
      <c r="E61" s="553"/>
      <c r="F61" s="553"/>
      <c r="G61" s="553"/>
      <c r="H61" s="553"/>
      <c r="I61" s="553"/>
      <c r="J61" s="553"/>
      <c r="K61" s="553"/>
      <c r="L61" s="553"/>
      <c r="M61" s="553"/>
      <c r="N61" s="553"/>
      <c r="O61" s="553"/>
      <c r="P61" s="553"/>
      <c r="Q61" s="553"/>
      <c r="R61" s="553"/>
      <c r="S61" s="553"/>
      <c r="T61" s="553"/>
      <c r="U61" s="553"/>
      <c r="V61" s="553"/>
      <c r="W61" s="553">
        <f>+V55/12</f>
        <v>502.5</v>
      </c>
      <c r="X61" s="553"/>
      <c r="Y61" s="553"/>
      <c r="Z61" s="553"/>
      <c r="AA61" s="553"/>
      <c r="AB61" s="553"/>
      <c r="AC61" s="553"/>
      <c r="AD61" s="553"/>
    </row>
    <row r="62" spans="1:30" ht="15.75">
      <c r="A62" s="553"/>
      <c r="B62" s="554" t="s">
        <v>25</v>
      </c>
      <c r="C62" s="553"/>
      <c r="D62" s="553"/>
      <c r="E62" s="553"/>
      <c r="F62" s="553"/>
      <c r="G62" s="553"/>
      <c r="H62" s="553"/>
      <c r="I62" s="553"/>
      <c r="J62" s="553"/>
      <c r="K62" s="553"/>
      <c r="L62" s="553"/>
      <c r="M62" s="553"/>
      <c r="N62" s="553"/>
      <c r="O62" s="553"/>
      <c r="P62" s="553"/>
      <c r="Q62" s="553"/>
      <c r="R62" s="553"/>
      <c r="S62" s="553"/>
      <c r="T62" s="553"/>
      <c r="U62" s="553"/>
      <c r="V62" s="553"/>
      <c r="W62" s="553"/>
      <c r="X62" s="553"/>
      <c r="Y62" s="553"/>
      <c r="Z62" s="553"/>
      <c r="AA62" s="553"/>
      <c r="AB62" s="553"/>
      <c r="AC62" s="553"/>
      <c r="AD62" s="553"/>
    </row>
    <row r="63" spans="1:30" ht="12.75">
      <c r="A63" s="553"/>
      <c r="B63" s="555"/>
      <c r="C63" s="555"/>
      <c r="D63" s="555"/>
      <c r="E63" s="555"/>
      <c r="F63" s="553"/>
      <c r="G63" s="553"/>
      <c r="H63" s="553"/>
      <c r="I63" s="553"/>
      <c r="J63" s="553"/>
      <c r="K63" s="553"/>
      <c r="L63" s="553"/>
      <c r="M63" s="553"/>
      <c r="N63" s="553"/>
      <c r="O63" s="553"/>
      <c r="P63" s="553"/>
      <c r="Q63" s="553"/>
      <c r="R63" s="553"/>
      <c r="S63" s="553"/>
      <c r="T63" s="553"/>
      <c r="U63" s="553"/>
      <c r="V63" s="553"/>
      <c r="W63" s="553"/>
      <c r="X63" s="553"/>
      <c r="Y63" s="553"/>
      <c r="Z63" s="553"/>
      <c r="AA63" s="553"/>
      <c r="AB63" s="553"/>
      <c r="AC63" s="553"/>
      <c r="AD63" s="553"/>
    </row>
    <row r="64" spans="1:30" ht="12.75">
      <c r="A64" s="556" t="s">
        <v>378</v>
      </c>
      <c r="B64" s="557"/>
      <c r="C64" s="558" t="s">
        <v>379</v>
      </c>
      <c r="D64" s="559"/>
      <c r="E64" s="560"/>
      <c r="F64" s="561" t="s">
        <v>380</v>
      </c>
      <c r="G64" s="562"/>
      <c r="H64" s="563"/>
      <c r="I64" s="564" t="s">
        <v>403</v>
      </c>
      <c r="J64" s="565"/>
      <c r="K64" s="563"/>
      <c r="L64" s="564" t="s">
        <v>417</v>
      </c>
      <c r="M64" s="565"/>
      <c r="N64" s="563"/>
      <c r="O64" s="564" t="s">
        <v>418</v>
      </c>
      <c r="P64" s="565"/>
      <c r="Q64" s="553"/>
      <c r="R64" s="553"/>
      <c r="S64" s="553"/>
      <c r="T64" s="553"/>
      <c r="U64" s="553"/>
      <c r="V64" s="553"/>
      <c r="W64" s="553"/>
      <c r="X64" s="553"/>
      <c r="Y64" s="553"/>
      <c r="Z64" s="553"/>
      <c r="AA64" s="553"/>
      <c r="AB64" s="553"/>
      <c r="AC64" s="553"/>
      <c r="AD64" s="553"/>
    </row>
    <row r="65" spans="1:30" ht="12.75">
      <c r="A65" s="566" t="s">
        <v>382</v>
      </c>
      <c r="B65" s="567" t="s">
        <v>386</v>
      </c>
      <c r="C65" s="567" t="s">
        <v>384</v>
      </c>
      <c r="D65" s="567" t="s">
        <v>195</v>
      </c>
      <c r="E65" s="567" t="s">
        <v>386</v>
      </c>
      <c r="F65" s="567" t="s">
        <v>384</v>
      </c>
      <c r="G65" s="567" t="s">
        <v>195</v>
      </c>
      <c r="H65" s="568" t="s">
        <v>386</v>
      </c>
      <c r="I65" s="568" t="s">
        <v>384</v>
      </c>
      <c r="J65" s="568" t="s">
        <v>195</v>
      </c>
      <c r="K65" s="568" t="s">
        <v>386</v>
      </c>
      <c r="L65" s="568" t="s">
        <v>384</v>
      </c>
      <c r="M65" s="568" t="s">
        <v>195</v>
      </c>
      <c r="N65" s="568" t="s">
        <v>383</v>
      </c>
      <c r="O65" s="568" t="s">
        <v>384</v>
      </c>
      <c r="P65" s="568" t="s">
        <v>195</v>
      </c>
      <c r="Q65" s="553"/>
      <c r="R65" s="553"/>
      <c r="S65" s="553"/>
      <c r="T65" s="553"/>
      <c r="U65" s="553"/>
      <c r="V65" s="553"/>
      <c r="W65" s="553"/>
      <c r="X65" s="553"/>
      <c r="Y65" s="553"/>
      <c r="Z65" s="553"/>
      <c r="AA65" s="553"/>
      <c r="AB65" s="553"/>
      <c r="AC65" s="553"/>
      <c r="AD65" s="553"/>
    </row>
    <row r="66" spans="1:30" ht="12.75">
      <c r="A66" s="570" t="s">
        <v>387</v>
      </c>
      <c r="B66" s="578">
        <v>172</v>
      </c>
      <c r="C66" s="572">
        <v>430</v>
      </c>
      <c r="D66" s="570">
        <f>+B66*C66</f>
        <v>73960</v>
      </c>
      <c r="E66" s="578">
        <v>128</v>
      </c>
      <c r="F66" s="572">
        <v>456</v>
      </c>
      <c r="G66" s="574">
        <f>+E66*F66</f>
        <v>58368</v>
      </c>
      <c r="H66" s="575">
        <v>46</v>
      </c>
      <c r="I66" s="576">
        <f aca="true" t="shared" si="15" ref="I66:I77">+J66/H66</f>
        <v>512.0434782608696</v>
      </c>
      <c r="J66" s="577">
        <v>23554</v>
      </c>
      <c r="K66" s="575">
        <v>60</v>
      </c>
      <c r="L66" s="576">
        <f>+M66/K66</f>
        <v>572.2833333333333</v>
      </c>
      <c r="M66" s="577">
        <v>34337</v>
      </c>
      <c r="N66" s="575">
        <f>+(B66+E66+H66+K66)/4</f>
        <v>101.5</v>
      </c>
      <c r="O66" s="576">
        <f>461*1.072</f>
        <v>494.192</v>
      </c>
      <c r="P66" s="577">
        <f>+N66*O66</f>
        <v>50160.488</v>
      </c>
      <c r="Q66" s="553"/>
      <c r="R66" s="553"/>
      <c r="S66" s="553"/>
      <c r="T66" s="553"/>
      <c r="U66" s="553"/>
      <c r="V66" s="553"/>
      <c r="W66" s="553"/>
      <c r="X66" s="553"/>
      <c r="Y66" s="553"/>
      <c r="Z66" s="553"/>
      <c r="AA66" s="553"/>
      <c r="AB66" s="553"/>
      <c r="AC66" s="553"/>
      <c r="AD66" s="553"/>
    </row>
    <row r="67" spans="1:30" ht="12.75">
      <c r="A67" s="570" t="s">
        <v>388</v>
      </c>
      <c r="B67" s="578">
        <v>81</v>
      </c>
      <c r="C67" s="572">
        <v>430</v>
      </c>
      <c r="D67" s="570">
        <f aca="true" t="shared" si="16" ref="D67:D77">+B67*C67</f>
        <v>34830</v>
      </c>
      <c r="E67" s="578">
        <v>169</v>
      </c>
      <c r="F67" s="572">
        <v>456</v>
      </c>
      <c r="G67" s="574">
        <f>+E67*F67</f>
        <v>77064</v>
      </c>
      <c r="H67" s="575">
        <v>74</v>
      </c>
      <c r="I67" s="576">
        <f t="shared" si="15"/>
        <v>463.0810810810811</v>
      </c>
      <c r="J67" s="577">
        <v>34268</v>
      </c>
      <c r="K67" s="575">
        <v>65</v>
      </c>
      <c r="L67" s="576">
        <f aca="true" t="shared" si="17" ref="L67:L72">+M67/K67</f>
        <v>601.8923076923077</v>
      </c>
      <c r="M67" s="577">
        <v>39123</v>
      </c>
      <c r="N67" s="575">
        <f aca="true" t="shared" si="18" ref="N67:N77">+(B67+E67+H67+K67)/4</f>
        <v>97.25</v>
      </c>
      <c r="O67" s="576">
        <f aca="true" t="shared" si="19" ref="O67:O77">461*1.072</f>
        <v>494.192</v>
      </c>
      <c r="P67" s="577">
        <f aca="true" t="shared" si="20" ref="P67:P77">+N67*O67</f>
        <v>48060.172</v>
      </c>
      <c r="Q67" s="553"/>
      <c r="R67" s="553"/>
      <c r="S67" s="553"/>
      <c r="T67" s="553"/>
      <c r="U67" s="553"/>
      <c r="V67" s="553"/>
      <c r="W67" s="553"/>
      <c r="X67" s="553"/>
      <c r="Y67" s="553"/>
      <c r="Z67" s="553"/>
      <c r="AA67" s="553"/>
      <c r="AB67" s="553"/>
      <c r="AC67" s="553"/>
      <c r="AD67" s="553"/>
    </row>
    <row r="68" spans="1:30" ht="12.75">
      <c r="A68" s="570" t="s">
        <v>389</v>
      </c>
      <c r="B68" s="578">
        <v>86</v>
      </c>
      <c r="C68" s="572">
        <v>430</v>
      </c>
      <c r="D68" s="570">
        <f t="shared" si="16"/>
        <v>36980</v>
      </c>
      <c r="E68" s="578">
        <v>157</v>
      </c>
      <c r="F68" s="572">
        <v>457</v>
      </c>
      <c r="G68" s="574">
        <f>+E68*F68</f>
        <v>71749</v>
      </c>
      <c r="H68" s="575">
        <v>50</v>
      </c>
      <c r="I68" s="576">
        <f t="shared" si="15"/>
        <v>540.96</v>
      </c>
      <c r="J68" s="577">
        <v>27048</v>
      </c>
      <c r="K68" s="575">
        <v>63</v>
      </c>
      <c r="L68" s="576">
        <f t="shared" si="17"/>
        <v>512.7936507936508</v>
      </c>
      <c r="M68" s="577">
        <v>32306</v>
      </c>
      <c r="N68" s="575">
        <f t="shared" si="18"/>
        <v>89</v>
      </c>
      <c r="O68" s="576">
        <f t="shared" si="19"/>
        <v>494.192</v>
      </c>
      <c r="P68" s="577">
        <f t="shared" si="20"/>
        <v>43983.088</v>
      </c>
      <c r="Q68" s="553"/>
      <c r="R68" s="553"/>
      <c r="S68" s="553"/>
      <c r="T68" s="553"/>
      <c r="U68" s="553"/>
      <c r="V68" s="553"/>
      <c r="W68" s="553"/>
      <c r="X68" s="553"/>
      <c r="Y68" s="553"/>
      <c r="Z68" s="553"/>
      <c r="AA68" s="553"/>
      <c r="AB68" s="553"/>
      <c r="AC68" s="553"/>
      <c r="AD68" s="553"/>
    </row>
    <row r="69" spans="1:30" ht="12.75">
      <c r="A69" s="570" t="s">
        <v>390</v>
      </c>
      <c r="B69" s="578">
        <v>56</v>
      </c>
      <c r="C69" s="572">
        <v>430</v>
      </c>
      <c r="D69" s="570">
        <f t="shared" si="16"/>
        <v>24080</v>
      </c>
      <c r="E69" s="578">
        <v>56</v>
      </c>
      <c r="F69" s="572">
        <v>456</v>
      </c>
      <c r="G69" s="574">
        <f>+E69*F69</f>
        <v>25536</v>
      </c>
      <c r="H69" s="575">
        <v>36</v>
      </c>
      <c r="I69" s="576">
        <f t="shared" si="15"/>
        <v>465.80555555555554</v>
      </c>
      <c r="J69" s="577">
        <v>16769</v>
      </c>
      <c r="K69" s="575">
        <v>82</v>
      </c>
      <c r="L69" s="576">
        <f t="shared" si="17"/>
        <v>504.6585365853659</v>
      </c>
      <c r="M69" s="577">
        <v>41382</v>
      </c>
      <c r="N69" s="575">
        <f t="shared" si="18"/>
        <v>57.5</v>
      </c>
      <c r="O69" s="576">
        <f t="shared" si="19"/>
        <v>494.192</v>
      </c>
      <c r="P69" s="577">
        <f t="shared" si="20"/>
        <v>28416.04</v>
      </c>
      <c r="Q69" s="553"/>
      <c r="R69" s="553"/>
      <c r="S69" s="553"/>
      <c r="T69" s="553"/>
      <c r="U69" s="553"/>
      <c r="V69" s="553"/>
      <c r="W69" s="553"/>
      <c r="X69" s="553"/>
      <c r="Y69" s="553"/>
      <c r="Z69" s="553"/>
      <c r="AA69" s="553"/>
      <c r="AB69" s="553"/>
      <c r="AC69" s="553"/>
      <c r="AD69" s="553"/>
    </row>
    <row r="70" spans="1:30" ht="12.75">
      <c r="A70" s="570" t="s">
        <v>391</v>
      </c>
      <c r="B70" s="578">
        <v>46</v>
      </c>
      <c r="C70" s="572">
        <v>430</v>
      </c>
      <c r="D70" s="570">
        <f t="shared" si="16"/>
        <v>19780</v>
      </c>
      <c r="E70" s="578">
        <v>43</v>
      </c>
      <c r="F70" s="572">
        <v>457</v>
      </c>
      <c r="G70" s="574">
        <f>+E70*F70</f>
        <v>19651</v>
      </c>
      <c r="H70" s="575">
        <v>25</v>
      </c>
      <c r="I70" s="576">
        <f t="shared" si="15"/>
        <v>478.24</v>
      </c>
      <c r="J70" s="577">
        <v>11956</v>
      </c>
      <c r="K70" s="575">
        <v>50</v>
      </c>
      <c r="L70" s="576">
        <f t="shared" si="17"/>
        <v>483.52</v>
      </c>
      <c r="M70" s="577">
        <v>24176</v>
      </c>
      <c r="N70" s="575">
        <f t="shared" si="18"/>
        <v>41</v>
      </c>
      <c r="O70" s="576">
        <f t="shared" si="19"/>
        <v>494.192</v>
      </c>
      <c r="P70" s="577">
        <f t="shared" si="20"/>
        <v>20261.872</v>
      </c>
      <c r="Q70" s="553"/>
      <c r="R70" s="553"/>
      <c r="S70" s="553"/>
      <c r="T70" s="553"/>
      <c r="U70" s="553"/>
      <c r="V70" s="553"/>
      <c r="W70" s="553"/>
      <c r="X70" s="553"/>
      <c r="Y70" s="553"/>
      <c r="Z70" s="553"/>
      <c r="AA70" s="553"/>
      <c r="AB70" s="553"/>
      <c r="AC70" s="553"/>
      <c r="AD70" s="553"/>
    </row>
    <row r="71" spans="1:30" ht="12.75">
      <c r="A71" s="570" t="s">
        <v>392</v>
      </c>
      <c r="B71" s="578">
        <v>48</v>
      </c>
      <c r="C71" s="572">
        <v>430</v>
      </c>
      <c r="D71" s="570">
        <f t="shared" si="16"/>
        <v>20640</v>
      </c>
      <c r="E71" s="582">
        <v>55</v>
      </c>
      <c r="F71" s="591">
        <f>+G71/E71</f>
        <v>456.4727272727273</v>
      </c>
      <c r="G71" s="581">
        <v>25106</v>
      </c>
      <c r="H71" s="575">
        <v>29</v>
      </c>
      <c r="I71" s="576">
        <f t="shared" si="15"/>
        <v>478.2758620689655</v>
      </c>
      <c r="J71" s="577">
        <v>13870</v>
      </c>
      <c r="K71" s="575">
        <v>37</v>
      </c>
      <c r="L71" s="576">
        <f t="shared" si="17"/>
        <v>495.05405405405406</v>
      </c>
      <c r="M71" s="577">
        <v>18317</v>
      </c>
      <c r="N71" s="575">
        <f t="shared" si="18"/>
        <v>42.25</v>
      </c>
      <c r="O71" s="576">
        <f t="shared" si="19"/>
        <v>494.192</v>
      </c>
      <c r="P71" s="577">
        <f t="shared" si="20"/>
        <v>20879.612</v>
      </c>
      <c r="Q71" s="553"/>
      <c r="R71" s="553"/>
      <c r="S71" s="553"/>
      <c r="T71" s="553"/>
      <c r="U71" s="553"/>
      <c r="V71" s="553"/>
      <c r="W71" s="553"/>
      <c r="X71" s="553"/>
      <c r="Y71" s="553"/>
      <c r="Z71" s="553"/>
      <c r="AA71" s="553"/>
      <c r="AB71" s="553"/>
      <c r="AC71" s="553"/>
      <c r="AD71" s="553"/>
    </row>
    <row r="72" spans="1:30" ht="12.75">
      <c r="A72" s="570" t="s">
        <v>393</v>
      </c>
      <c r="B72" s="592">
        <v>44</v>
      </c>
      <c r="C72" s="572">
        <v>430</v>
      </c>
      <c r="D72" s="570">
        <f t="shared" si="16"/>
        <v>18920</v>
      </c>
      <c r="E72" s="593">
        <v>36</v>
      </c>
      <c r="F72" s="591">
        <f aca="true" t="shared" si="21" ref="F72:F77">+G72/E72</f>
        <v>457.30555555555554</v>
      </c>
      <c r="G72" s="581">
        <v>16463</v>
      </c>
      <c r="H72" s="575">
        <v>30</v>
      </c>
      <c r="I72" s="576">
        <f t="shared" si="15"/>
        <v>478.8333333333333</v>
      </c>
      <c r="J72" s="577">
        <v>14365</v>
      </c>
      <c r="K72" s="575">
        <v>16</v>
      </c>
      <c r="L72" s="576">
        <f t="shared" si="17"/>
        <v>495.0625</v>
      </c>
      <c r="M72" s="577">
        <v>7921</v>
      </c>
      <c r="N72" s="575">
        <f t="shared" si="18"/>
        <v>31.5</v>
      </c>
      <c r="O72" s="576">
        <f t="shared" si="19"/>
        <v>494.192</v>
      </c>
      <c r="P72" s="577">
        <f t="shared" si="20"/>
        <v>15567.048</v>
      </c>
      <c r="Q72" s="553"/>
      <c r="R72" s="553"/>
      <c r="S72" s="553"/>
      <c r="T72" s="553"/>
      <c r="U72" s="553"/>
      <c r="V72" s="553"/>
      <c r="W72" s="553"/>
      <c r="X72" s="553"/>
      <c r="Y72" s="553"/>
      <c r="Z72" s="553"/>
      <c r="AA72" s="553"/>
      <c r="AB72" s="553"/>
      <c r="AC72" s="553"/>
      <c r="AD72" s="553"/>
    </row>
    <row r="73" spans="1:30" ht="12.75">
      <c r="A73" s="570" t="s">
        <v>394</v>
      </c>
      <c r="B73" s="572">
        <v>45</v>
      </c>
      <c r="C73" s="572">
        <v>430</v>
      </c>
      <c r="D73" s="570">
        <f t="shared" si="16"/>
        <v>19350</v>
      </c>
      <c r="E73" s="594">
        <v>40</v>
      </c>
      <c r="F73" s="591">
        <f t="shared" si="21"/>
        <v>457.8</v>
      </c>
      <c r="G73" s="581">
        <v>18312</v>
      </c>
      <c r="H73" s="579">
        <v>10</v>
      </c>
      <c r="I73" s="576">
        <f t="shared" si="15"/>
        <v>473.8</v>
      </c>
      <c r="J73" s="577">
        <v>4738</v>
      </c>
      <c r="K73" s="575">
        <f aca="true" t="shared" si="22" ref="K73:L77">+(B73+E73+H73)/3</f>
        <v>31.666666666666668</v>
      </c>
      <c r="L73" s="576">
        <f t="shared" si="22"/>
        <v>453.8666666666666</v>
      </c>
      <c r="M73" s="577">
        <f>+K73*L73</f>
        <v>14372.444444444443</v>
      </c>
      <c r="N73" s="575">
        <f t="shared" si="18"/>
        <v>31.666666666666668</v>
      </c>
      <c r="O73" s="576">
        <f t="shared" si="19"/>
        <v>494.192</v>
      </c>
      <c r="P73" s="577">
        <f t="shared" si="20"/>
        <v>15649.413333333334</v>
      </c>
      <c r="Q73" s="553"/>
      <c r="R73" s="553"/>
      <c r="S73" s="553"/>
      <c r="T73" s="553"/>
      <c r="U73" s="553"/>
      <c r="V73" s="553"/>
      <c r="W73" s="553"/>
      <c r="X73" s="553"/>
      <c r="Y73" s="553"/>
      <c r="Z73" s="553"/>
      <c r="AA73" s="553"/>
      <c r="AB73" s="553"/>
      <c r="AC73" s="553"/>
      <c r="AD73" s="553"/>
    </row>
    <row r="74" spans="1:30" ht="12.75">
      <c r="A74" s="570" t="s">
        <v>395</v>
      </c>
      <c r="B74" s="572">
        <v>47</v>
      </c>
      <c r="C74" s="572">
        <v>430</v>
      </c>
      <c r="D74" s="570">
        <f t="shared" si="16"/>
        <v>20210</v>
      </c>
      <c r="E74" s="594">
        <v>76</v>
      </c>
      <c r="F74" s="591">
        <f t="shared" si="21"/>
        <v>457.7631578947368</v>
      </c>
      <c r="G74" s="581">
        <v>34790</v>
      </c>
      <c r="H74" s="579">
        <v>34</v>
      </c>
      <c r="I74" s="576">
        <f t="shared" si="15"/>
        <v>478.2352941176471</v>
      </c>
      <c r="J74" s="577">
        <v>16260</v>
      </c>
      <c r="K74" s="575">
        <f t="shared" si="22"/>
        <v>52.333333333333336</v>
      </c>
      <c r="L74" s="576">
        <f t="shared" si="22"/>
        <v>455.33281733746134</v>
      </c>
      <c r="M74" s="577">
        <f>+K74*L74</f>
        <v>23829.084107327144</v>
      </c>
      <c r="N74" s="575">
        <f t="shared" si="18"/>
        <v>52.333333333333336</v>
      </c>
      <c r="O74" s="576">
        <f t="shared" si="19"/>
        <v>494.192</v>
      </c>
      <c r="P74" s="577">
        <f t="shared" si="20"/>
        <v>25862.714666666667</v>
      </c>
      <c r="Q74" s="553"/>
      <c r="R74" s="553"/>
      <c r="S74" s="553"/>
      <c r="T74" s="553"/>
      <c r="U74" s="553"/>
      <c r="V74" s="553"/>
      <c r="W74" s="553"/>
      <c r="X74" s="553"/>
      <c r="Y74" s="553"/>
      <c r="Z74" s="553"/>
      <c r="AA74" s="553"/>
      <c r="AB74" s="553"/>
      <c r="AC74" s="553"/>
      <c r="AD74" s="553"/>
    </row>
    <row r="75" spans="1:30" ht="12.75">
      <c r="A75" s="570" t="s">
        <v>396</v>
      </c>
      <c r="B75" s="572">
        <v>42</v>
      </c>
      <c r="C75" s="572">
        <v>430</v>
      </c>
      <c r="D75" s="570">
        <f t="shared" si="16"/>
        <v>18060</v>
      </c>
      <c r="E75" s="594">
        <v>45</v>
      </c>
      <c r="F75" s="591">
        <f t="shared" si="21"/>
        <v>456.46666666666664</v>
      </c>
      <c r="G75" s="581">
        <v>20541</v>
      </c>
      <c r="H75" s="579">
        <v>75</v>
      </c>
      <c r="I75" s="576">
        <f t="shared" si="15"/>
        <v>480.7733333333333</v>
      </c>
      <c r="J75" s="577">
        <v>36058</v>
      </c>
      <c r="K75" s="575">
        <f t="shared" si="22"/>
        <v>54</v>
      </c>
      <c r="L75" s="576">
        <f t="shared" si="22"/>
        <v>455.74666666666667</v>
      </c>
      <c r="M75" s="577">
        <f>+K75*L75</f>
        <v>24610.32</v>
      </c>
      <c r="N75" s="575">
        <f t="shared" si="18"/>
        <v>54</v>
      </c>
      <c r="O75" s="576">
        <f t="shared" si="19"/>
        <v>494.192</v>
      </c>
      <c r="P75" s="577">
        <f t="shared" si="20"/>
        <v>26686.368000000002</v>
      </c>
      <c r="Q75" s="553"/>
      <c r="R75" s="553"/>
      <c r="S75" s="553"/>
      <c r="T75" s="553"/>
      <c r="U75" s="553"/>
      <c r="V75" s="553"/>
      <c r="W75" s="553"/>
      <c r="X75" s="553"/>
      <c r="Y75" s="553"/>
      <c r="Z75" s="553"/>
      <c r="AA75" s="553"/>
      <c r="AB75" s="553"/>
      <c r="AC75" s="553"/>
      <c r="AD75" s="553"/>
    </row>
    <row r="76" spans="1:30" ht="12.75">
      <c r="A76" s="570" t="s">
        <v>397</v>
      </c>
      <c r="B76" s="572">
        <v>43</v>
      </c>
      <c r="C76" s="572">
        <v>430</v>
      </c>
      <c r="D76" s="570">
        <f t="shared" si="16"/>
        <v>18490</v>
      </c>
      <c r="E76" s="594">
        <v>71</v>
      </c>
      <c r="F76" s="591">
        <f t="shared" si="21"/>
        <v>456.77464788732397</v>
      </c>
      <c r="G76" s="581">
        <v>32431</v>
      </c>
      <c r="H76" s="579">
        <v>36</v>
      </c>
      <c r="I76" s="576">
        <f t="shared" si="15"/>
        <v>484.77777777777777</v>
      </c>
      <c r="J76" s="577">
        <v>17452</v>
      </c>
      <c r="K76" s="575">
        <f t="shared" si="22"/>
        <v>50</v>
      </c>
      <c r="L76" s="576">
        <f t="shared" si="22"/>
        <v>457.18414188836726</v>
      </c>
      <c r="M76" s="577">
        <f>+K76*L76</f>
        <v>22859.20709441836</v>
      </c>
      <c r="N76" s="575">
        <f t="shared" si="18"/>
        <v>50</v>
      </c>
      <c r="O76" s="576">
        <f t="shared" si="19"/>
        <v>494.192</v>
      </c>
      <c r="P76" s="577">
        <f t="shared" si="20"/>
        <v>24709.6</v>
      </c>
      <c r="Q76" s="553"/>
      <c r="R76" s="553"/>
      <c r="S76" s="553"/>
      <c r="T76" s="553"/>
      <c r="U76" s="553"/>
      <c r="V76" s="553"/>
      <c r="W76" s="553"/>
      <c r="X76" s="553"/>
      <c r="Y76" s="553"/>
      <c r="Z76" s="553"/>
      <c r="AA76" s="553"/>
      <c r="AB76" s="553"/>
      <c r="AC76" s="553"/>
      <c r="AD76" s="553"/>
    </row>
    <row r="77" spans="1:30" ht="12.75">
      <c r="A77" s="570" t="s">
        <v>398</v>
      </c>
      <c r="B77" s="572">
        <v>100</v>
      </c>
      <c r="C77" s="572">
        <v>430</v>
      </c>
      <c r="D77" s="570">
        <f t="shared" si="16"/>
        <v>43000</v>
      </c>
      <c r="E77" s="594">
        <v>84</v>
      </c>
      <c r="F77" s="591">
        <f t="shared" si="21"/>
        <v>456.0952380952381</v>
      </c>
      <c r="G77" s="581">
        <v>38312</v>
      </c>
      <c r="H77" s="579">
        <v>69</v>
      </c>
      <c r="I77" s="576">
        <f t="shared" si="15"/>
        <v>497.5072463768116</v>
      </c>
      <c r="J77" s="577">
        <v>34328</v>
      </c>
      <c r="K77" s="575">
        <f t="shared" si="22"/>
        <v>84.33333333333333</v>
      </c>
      <c r="L77" s="576">
        <f t="shared" si="22"/>
        <v>461.20082815734986</v>
      </c>
      <c r="M77" s="577">
        <f>+K77*L77</f>
        <v>38894.603174603166</v>
      </c>
      <c r="N77" s="575">
        <f t="shared" si="18"/>
        <v>84.33333333333333</v>
      </c>
      <c r="O77" s="576">
        <f t="shared" si="19"/>
        <v>494.192</v>
      </c>
      <c r="P77" s="577">
        <f t="shared" si="20"/>
        <v>41676.85866666667</v>
      </c>
      <c r="Q77" s="553"/>
      <c r="R77" s="553"/>
      <c r="S77" s="553"/>
      <c r="T77" s="553"/>
      <c r="U77" s="553"/>
      <c r="V77" s="553"/>
      <c r="W77" s="553"/>
      <c r="X77" s="553"/>
      <c r="Y77" s="553"/>
      <c r="Z77" s="553"/>
      <c r="AA77" s="553"/>
      <c r="AB77" s="553"/>
      <c r="AC77" s="553"/>
      <c r="AD77" s="553"/>
    </row>
    <row r="78" spans="1:30" ht="12.75">
      <c r="A78" s="583" t="s">
        <v>399</v>
      </c>
      <c r="B78" s="587">
        <f aca="true" t="shared" si="23" ref="B78:H78">SUM(B66:B77)</f>
        <v>810</v>
      </c>
      <c r="C78" s="584"/>
      <c r="D78" s="584">
        <f t="shared" si="23"/>
        <v>348300</v>
      </c>
      <c r="E78" s="584">
        <f>SUM(E66:E77)</f>
        <v>960</v>
      </c>
      <c r="F78" s="585">
        <f t="shared" si="23"/>
        <v>5480.677993372248</v>
      </c>
      <c r="G78" s="584">
        <f t="shared" si="23"/>
        <v>438323</v>
      </c>
      <c r="H78" s="615">
        <f t="shared" si="23"/>
        <v>514</v>
      </c>
      <c r="I78" s="616">
        <f>+J78/H78</f>
        <v>487.6770428015564</v>
      </c>
      <c r="J78" s="615">
        <f>SUM(J66:J77)</f>
        <v>250666</v>
      </c>
      <c r="K78" s="615">
        <f>SUM(K66:K77)</f>
        <v>645.3333333333334</v>
      </c>
      <c r="L78" s="616">
        <f>+M78/K78</f>
        <v>499.1647605694108</v>
      </c>
      <c r="M78" s="615">
        <f>SUM(M66:M77)</f>
        <v>322127.65882079315</v>
      </c>
      <c r="N78" s="586">
        <f>SUM(N66:N77)</f>
        <v>732.3333333333334</v>
      </c>
      <c r="O78" s="623">
        <v>487</v>
      </c>
      <c r="P78" s="586">
        <f>SUM(P66:P77)</f>
        <v>361913.2746666667</v>
      </c>
      <c r="Q78" s="553"/>
      <c r="R78" s="553"/>
      <c r="S78" s="553"/>
      <c r="T78" s="553"/>
      <c r="U78" s="553"/>
      <c r="V78" s="553"/>
      <c r="W78" s="553"/>
      <c r="X78" s="553"/>
      <c r="Y78" s="553"/>
      <c r="Z78" s="553"/>
      <c r="AA78" s="553"/>
      <c r="AB78" s="553"/>
      <c r="AC78" s="553"/>
      <c r="AD78" s="553"/>
    </row>
    <row r="79" spans="1:30" ht="12.75">
      <c r="A79" s="553"/>
      <c r="B79" s="553"/>
      <c r="C79" s="553"/>
      <c r="D79" s="583" t="s">
        <v>400</v>
      </c>
      <c r="E79" s="574">
        <f>+E66+E67+E68+E77</f>
        <v>538</v>
      </c>
      <c r="F79" s="553"/>
      <c r="G79" s="574">
        <f>+G66+G67+G68+G77</f>
        <v>245493</v>
      </c>
      <c r="H79" s="577">
        <f>+H66+H67+H68+H77</f>
        <v>239</v>
      </c>
      <c r="I79" s="617"/>
      <c r="J79" s="618" t="s">
        <v>400</v>
      </c>
      <c r="K79" s="577">
        <f>+K66+K67+K68+K77</f>
        <v>272.3333333333333</v>
      </c>
      <c r="L79" s="617"/>
      <c r="M79" s="577">
        <f>+M66+M67+M68+M77</f>
        <v>144660.60317460317</v>
      </c>
      <c r="N79" s="620">
        <f>+N66+N67+N68+N77</f>
        <v>372.0833333333333</v>
      </c>
      <c r="O79" s="569" t="s">
        <v>419</v>
      </c>
      <c r="P79" s="622">
        <f>+P66+P67+P68+P77</f>
        <v>183880.6066666667</v>
      </c>
      <c r="Q79" s="553"/>
      <c r="R79" s="553"/>
      <c r="S79" s="553"/>
      <c r="T79" s="553"/>
      <c r="U79" s="553"/>
      <c r="V79" s="553"/>
      <c r="W79" s="553"/>
      <c r="X79" s="553"/>
      <c r="Y79" s="553"/>
      <c r="Z79" s="553"/>
      <c r="AA79" s="553"/>
      <c r="AB79" s="553"/>
      <c r="AC79" s="553"/>
      <c r="AD79" s="553"/>
    </row>
    <row r="80" spans="1:30" ht="13.5" thickBot="1">
      <c r="A80" s="553"/>
      <c r="B80" s="553"/>
      <c r="C80" s="553"/>
      <c r="D80" s="583" t="s">
        <v>401</v>
      </c>
      <c r="E80" s="574">
        <f>SUM(E69:E76)</f>
        <v>422</v>
      </c>
      <c r="F80" s="553"/>
      <c r="G80" s="574">
        <f>SUM(G69:G76)</f>
        <v>192830</v>
      </c>
      <c r="H80" s="577">
        <f>SUM(H69:H76)</f>
        <v>275</v>
      </c>
      <c r="I80" s="617"/>
      <c r="J80" s="618" t="s">
        <v>401</v>
      </c>
      <c r="K80" s="577">
        <f>SUM(K69:K76)</f>
        <v>373</v>
      </c>
      <c r="L80" s="617"/>
      <c r="M80" s="577">
        <f>SUM(M69:M76)</f>
        <v>177467.05564618993</v>
      </c>
      <c r="N80" s="620">
        <f>SUM(N69:N76)</f>
        <v>360.25</v>
      </c>
      <c r="O80" s="624">
        <v>0.072</v>
      </c>
      <c r="P80" s="626">
        <f>SUM(P69:P76)</f>
        <v>178032.668</v>
      </c>
      <c r="Q80" s="553"/>
      <c r="R80" s="553"/>
      <c r="S80" s="553"/>
      <c r="T80" s="553"/>
      <c r="U80" s="553"/>
      <c r="V80" s="553"/>
      <c r="W80" s="553"/>
      <c r="X80" s="553"/>
      <c r="Y80" s="553"/>
      <c r="Z80" s="553"/>
      <c r="AA80" s="553"/>
      <c r="AB80" s="553"/>
      <c r="AC80" s="553"/>
      <c r="AD80" s="553"/>
    </row>
    <row r="81" spans="1:30" ht="13.5" thickBot="1">
      <c r="A81" s="553"/>
      <c r="B81" s="553"/>
      <c r="C81" s="553"/>
      <c r="D81" s="585" t="s">
        <v>402</v>
      </c>
      <c r="E81" s="584">
        <f>+E79+E80</f>
        <v>960</v>
      </c>
      <c r="F81" s="553"/>
      <c r="G81" s="584">
        <f>+G79+G80</f>
        <v>438323</v>
      </c>
      <c r="H81" s="615">
        <f>+H79+H80</f>
        <v>514</v>
      </c>
      <c r="I81" s="617"/>
      <c r="J81" s="619" t="s">
        <v>402</v>
      </c>
      <c r="K81" s="615">
        <f>+K79+K80</f>
        <v>645.3333333333333</v>
      </c>
      <c r="L81" s="617"/>
      <c r="M81" s="615">
        <f>+M79+M80</f>
        <v>322127.6588207931</v>
      </c>
      <c r="N81" s="621">
        <f>+N79+N80</f>
        <v>732.3333333333333</v>
      </c>
      <c r="O81" s="625">
        <v>494</v>
      </c>
      <c r="P81" s="627">
        <f>+N81*O81</f>
        <v>361772.6666666666</v>
      </c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</row>
    <row r="82" spans="1:30" ht="12.75">
      <c r="A82" s="553"/>
      <c r="B82" s="553"/>
      <c r="C82" s="553"/>
      <c r="D82" s="553"/>
      <c r="E82" s="553"/>
      <c r="F82" s="553"/>
      <c r="G82" s="553"/>
      <c r="H82" s="553"/>
      <c r="I82" s="553"/>
      <c r="J82" s="553"/>
      <c r="K82" s="553"/>
      <c r="L82" s="553"/>
      <c r="M82" s="553"/>
      <c r="N82" s="553"/>
      <c r="O82" s="553"/>
      <c r="P82" s="553"/>
      <c r="Q82" s="553"/>
      <c r="R82" s="553"/>
      <c r="S82" s="553"/>
      <c r="T82" s="553"/>
      <c r="U82" s="553"/>
      <c r="V82" s="553"/>
      <c r="W82" s="553"/>
      <c r="X82" s="553"/>
      <c r="Y82" s="553"/>
      <c r="Z82" s="553"/>
      <c r="AA82" s="553"/>
      <c r="AB82" s="553"/>
      <c r="AC82" s="553"/>
      <c r="AD82" s="553"/>
    </row>
    <row r="83" spans="1:30" ht="12.75">
      <c r="A83" s="553"/>
      <c r="B83" s="553"/>
      <c r="C83" s="553"/>
      <c r="D83" s="553"/>
      <c r="E83" s="553"/>
      <c r="F83" s="553"/>
      <c r="G83" s="553"/>
      <c r="H83" s="553"/>
      <c r="I83" s="553"/>
      <c r="J83" s="553"/>
      <c r="K83" s="553"/>
      <c r="L83" s="553"/>
      <c r="M83" s="553"/>
      <c r="N83" s="553"/>
      <c r="O83" s="553"/>
      <c r="P83" s="553"/>
      <c r="Q83" s="553"/>
      <c r="R83" s="553"/>
      <c r="S83" s="553"/>
      <c r="T83" s="553"/>
      <c r="U83" s="553"/>
      <c r="V83" s="553"/>
      <c r="W83" s="553"/>
      <c r="X83" s="553"/>
      <c r="Y83" s="553"/>
      <c r="Z83" s="553"/>
      <c r="AA83" s="553"/>
      <c r="AB83" s="553"/>
      <c r="AC83" s="553"/>
      <c r="AD83" s="553"/>
    </row>
    <row r="84" spans="1:30" ht="12.75">
      <c r="A84" s="553"/>
      <c r="B84" s="553"/>
      <c r="C84" s="553"/>
      <c r="D84" s="553"/>
      <c r="E84" s="553"/>
      <c r="F84" s="553"/>
      <c r="G84" s="553"/>
      <c r="H84" s="553"/>
      <c r="I84" s="553"/>
      <c r="J84" s="553"/>
      <c r="K84" s="553"/>
      <c r="L84" s="553"/>
      <c r="M84" s="553"/>
      <c r="N84" s="553"/>
      <c r="O84" s="553"/>
      <c r="P84" s="553"/>
      <c r="Q84" s="553"/>
      <c r="R84" s="553"/>
      <c r="S84" s="553"/>
      <c r="T84" s="553"/>
      <c r="U84" s="553"/>
      <c r="V84" s="553"/>
      <c r="W84" s="553"/>
      <c r="X84" s="553"/>
      <c r="Y84" s="553"/>
      <c r="Z84" s="553"/>
      <c r="AA84" s="553"/>
      <c r="AB84" s="553"/>
      <c r="AC84" s="553"/>
      <c r="AD84" s="553"/>
    </row>
    <row r="85" spans="1:30" ht="12.75">
      <c r="A85" s="635" t="s">
        <v>442</v>
      </c>
      <c r="B85" s="553"/>
      <c r="C85" s="553"/>
      <c r="D85" s="553"/>
      <c r="E85" s="553"/>
      <c r="F85" s="553"/>
      <c r="G85" s="553"/>
      <c r="H85" s="553"/>
      <c r="I85" s="553"/>
      <c r="J85" s="553"/>
      <c r="K85" s="553"/>
      <c r="L85" s="553"/>
      <c r="M85" s="553"/>
      <c r="N85" s="553"/>
      <c r="O85" s="553"/>
      <c r="P85" s="553"/>
      <c r="Q85" s="553"/>
      <c r="R85" s="553"/>
      <c r="S85" s="553"/>
      <c r="T85" s="553"/>
      <c r="U85" s="553"/>
      <c r="V85" s="553"/>
      <c r="W85" s="553"/>
      <c r="X85" s="553"/>
      <c r="Y85" s="553"/>
      <c r="Z85" s="553"/>
      <c r="AA85" s="553"/>
      <c r="AB85" s="553"/>
      <c r="AC85" s="553"/>
      <c r="AD85" s="553"/>
    </row>
    <row r="86" spans="1:30" ht="12.75">
      <c r="A86" s="553"/>
      <c r="B86" s="553"/>
      <c r="C86" s="553"/>
      <c r="D86" s="553"/>
      <c r="E86" s="553"/>
      <c r="F86" s="553"/>
      <c r="G86" s="553"/>
      <c r="H86" s="553"/>
      <c r="I86" s="553"/>
      <c r="J86" s="553"/>
      <c r="K86" s="553"/>
      <c r="L86" s="553"/>
      <c r="M86" s="553"/>
      <c r="N86" s="553"/>
      <c r="O86" s="553"/>
      <c r="P86" s="553"/>
      <c r="Q86" s="553"/>
      <c r="R86" s="553"/>
      <c r="S86" s="553"/>
      <c r="T86" s="553"/>
      <c r="U86" s="553"/>
      <c r="V86" s="553"/>
      <c r="W86" s="553"/>
      <c r="X86" s="553"/>
      <c r="Y86" s="553"/>
      <c r="Z86" s="553"/>
      <c r="AA86" s="553"/>
      <c r="AB86" s="553"/>
      <c r="AC86" s="553"/>
      <c r="AD86" s="553"/>
    </row>
    <row r="87" spans="1:30" ht="12.75">
      <c r="A87" s="635" t="s">
        <v>443</v>
      </c>
      <c r="B87" s="553"/>
      <c r="C87" s="553"/>
      <c r="D87" s="553"/>
      <c r="E87" s="553"/>
      <c r="F87" s="553"/>
      <c r="G87" s="553"/>
      <c r="H87" s="553"/>
      <c r="I87" s="553"/>
      <c r="J87" s="553"/>
      <c r="K87" s="553"/>
      <c r="L87" s="553"/>
      <c r="M87" s="553"/>
      <c r="N87" s="553"/>
      <c r="O87" s="553"/>
      <c r="P87" s="553"/>
      <c r="Q87" s="553"/>
      <c r="R87" s="553"/>
      <c r="S87" s="553"/>
      <c r="T87" s="553"/>
      <c r="U87" s="553"/>
      <c r="V87" s="553"/>
      <c r="W87" s="553"/>
      <c r="X87" s="553"/>
      <c r="Y87" s="553"/>
      <c r="Z87" s="553"/>
      <c r="AA87" s="553"/>
      <c r="AB87" s="553"/>
      <c r="AC87" s="553"/>
      <c r="AD87" s="553"/>
    </row>
    <row r="88" spans="1:30" ht="12.75">
      <c r="A88" s="553"/>
      <c r="B88" s="553"/>
      <c r="C88" s="553"/>
      <c r="D88" s="553"/>
      <c r="E88" s="553"/>
      <c r="F88" s="553"/>
      <c r="G88" s="553"/>
      <c r="H88" s="553"/>
      <c r="I88" s="553"/>
      <c r="J88" s="553"/>
      <c r="K88" s="553"/>
      <c r="L88" s="553"/>
      <c r="M88" s="553"/>
      <c r="N88" s="553"/>
      <c r="O88" s="553"/>
      <c r="P88" s="553"/>
      <c r="Q88" s="553"/>
      <c r="R88" s="553"/>
      <c r="S88" s="553"/>
      <c r="T88" s="553"/>
      <c r="U88" s="553"/>
      <c r="V88" s="553"/>
      <c r="W88" s="553"/>
      <c r="X88" s="553"/>
      <c r="Y88" s="553"/>
      <c r="Z88" s="553"/>
      <c r="AA88" s="553"/>
      <c r="AB88" s="553"/>
      <c r="AC88" s="553"/>
      <c r="AD88" s="553"/>
    </row>
    <row r="89" spans="1:30" ht="12.75">
      <c r="A89" s="635" t="s">
        <v>444</v>
      </c>
      <c r="B89" s="553"/>
      <c r="C89" s="553"/>
      <c r="D89" s="553"/>
      <c r="E89" s="553"/>
      <c r="F89" s="553"/>
      <c r="G89" s="553"/>
      <c r="H89" s="553"/>
      <c r="I89" s="553"/>
      <c r="J89" s="553"/>
      <c r="K89" s="553"/>
      <c r="L89" s="553"/>
      <c r="M89" s="553"/>
      <c r="N89" s="553"/>
      <c r="O89" s="553"/>
      <c r="P89" s="553"/>
      <c r="Q89" s="553"/>
      <c r="R89" s="553"/>
      <c r="S89" s="553"/>
      <c r="T89" s="553"/>
      <c r="U89" s="553"/>
      <c r="V89" s="553"/>
      <c r="W89" s="553"/>
      <c r="X89" s="553"/>
      <c r="Y89" s="553"/>
      <c r="Z89" s="553"/>
      <c r="AA89" s="553"/>
      <c r="AB89" s="553"/>
      <c r="AC89" s="553"/>
      <c r="AD89" s="553"/>
    </row>
    <row r="90" spans="1:30" ht="12.75">
      <c r="A90" s="553"/>
      <c r="B90" s="553"/>
      <c r="C90" s="553"/>
      <c r="D90" s="553"/>
      <c r="E90" s="553"/>
      <c r="F90" s="553"/>
      <c r="G90" s="553"/>
      <c r="H90" s="553"/>
      <c r="I90" s="553"/>
      <c r="J90" s="553"/>
      <c r="K90" s="553"/>
      <c r="L90" s="553"/>
      <c r="M90" s="553"/>
      <c r="N90" s="553"/>
      <c r="O90" s="553"/>
      <c r="P90" s="553"/>
      <c r="Q90" s="553"/>
      <c r="R90" s="553"/>
      <c r="S90" s="553"/>
      <c r="T90" s="553"/>
      <c r="U90" s="553"/>
      <c r="V90" s="553"/>
      <c r="W90" s="553"/>
      <c r="X90" s="553"/>
      <c r="Y90" s="553"/>
      <c r="Z90" s="553"/>
      <c r="AA90" s="553"/>
      <c r="AB90" s="553"/>
      <c r="AC90" s="553"/>
      <c r="AD90" s="553"/>
    </row>
    <row r="91" spans="1:30" ht="12.75">
      <c r="A91" s="553"/>
      <c r="B91" s="553"/>
      <c r="C91" s="553"/>
      <c r="D91" s="553"/>
      <c r="E91" s="553"/>
      <c r="F91" s="553"/>
      <c r="G91" s="553"/>
      <c r="H91" s="553"/>
      <c r="I91" s="553"/>
      <c r="J91" s="553"/>
      <c r="K91" s="553"/>
      <c r="L91" s="553"/>
      <c r="M91" s="553"/>
      <c r="N91" s="553"/>
      <c r="O91" s="553"/>
      <c r="P91" s="553"/>
      <c r="Q91" s="553"/>
      <c r="R91" s="553"/>
      <c r="S91" s="553"/>
      <c r="T91" s="553"/>
      <c r="U91" s="553"/>
      <c r="V91" s="553"/>
      <c r="W91" s="553"/>
      <c r="X91" s="553"/>
      <c r="Y91" s="553"/>
      <c r="Z91" s="553"/>
      <c r="AA91" s="553"/>
      <c r="AB91" s="553"/>
      <c r="AC91" s="553"/>
      <c r="AD91" s="553"/>
    </row>
    <row r="93" ht="12.75">
      <c r="A93" s="89" t="s">
        <v>446</v>
      </c>
    </row>
    <row r="95" spans="1:8" ht="12.75">
      <c r="A95" s="595" t="s">
        <v>432</v>
      </c>
      <c r="B95"/>
      <c r="C95"/>
      <c r="D95"/>
      <c r="E95"/>
      <c r="F95"/>
      <c r="G95"/>
      <c r="H95"/>
    </row>
    <row r="96" spans="1:8" ht="12.75">
      <c r="A96"/>
      <c r="B96"/>
      <c r="C96"/>
      <c r="D96"/>
      <c r="E96"/>
      <c r="F96"/>
      <c r="G96"/>
      <c r="H96"/>
    </row>
    <row r="97" spans="1:7" ht="13.5" thickBot="1">
      <c r="A97" s="596"/>
      <c r="B97" s="597"/>
      <c r="C97" s="597"/>
      <c r="D97" s="597"/>
      <c r="E97" s="597"/>
      <c r="F97" s="597"/>
      <c r="G97" s="597"/>
    </row>
    <row r="98" spans="1:6" ht="13.5" thickBot="1">
      <c r="A98" s="598" t="s">
        <v>404</v>
      </c>
      <c r="B98" s="598" t="s">
        <v>405</v>
      </c>
      <c r="C98" s="599" t="s">
        <v>406</v>
      </c>
      <c r="D98" s="599" t="s">
        <v>407</v>
      </c>
      <c r="E98" s="599" t="s">
        <v>529</v>
      </c>
      <c r="F98" s="599" t="s">
        <v>195</v>
      </c>
    </row>
    <row r="99" spans="1:6" ht="12.75">
      <c r="A99" s="600">
        <v>5210</v>
      </c>
      <c r="B99" s="600">
        <v>321014</v>
      </c>
      <c r="C99" s="601">
        <v>1178816</v>
      </c>
      <c r="D99" s="601">
        <f>+C99</f>
        <v>1178816</v>
      </c>
      <c r="E99" s="600">
        <v>1.072</v>
      </c>
      <c r="F99" s="602">
        <f>+D99*E99</f>
        <v>1263690.752</v>
      </c>
    </row>
    <row r="100" spans="1:6" ht="13.5" thickBot="1">
      <c r="A100" s="603">
        <v>5210</v>
      </c>
      <c r="B100" s="603">
        <v>321013</v>
      </c>
      <c r="C100" s="604">
        <v>743506</v>
      </c>
      <c r="D100" s="604">
        <f>+C100</f>
        <v>743506</v>
      </c>
      <c r="E100" s="603">
        <v>1.072</v>
      </c>
      <c r="F100" s="605">
        <f>+D100*E100</f>
        <v>797038.432</v>
      </c>
    </row>
    <row r="101" spans="1:6" ht="13.5" thickBot="1">
      <c r="A101" s="606"/>
      <c r="B101" s="607" t="s">
        <v>407</v>
      </c>
      <c r="C101" s="608">
        <f>SUM(C99:C100)</f>
        <v>1922322</v>
      </c>
      <c r="D101" s="608">
        <f>SUM(D99:D100)</f>
        <v>1922322</v>
      </c>
      <c r="E101" s="606"/>
      <c r="F101" s="608">
        <f>SUM(F99:F100)</f>
        <v>2060729.1840000001</v>
      </c>
    </row>
    <row r="105" ht="12.75">
      <c r="A105" s="549" t="s">
        <v>445</v>
      </c>
    </row>
    <row r="107" ht="12.75">
      <c r="A107" s="89" t="s">
        <v>408</v>
      </c>
    </row>
    <row r="108" ht="12.75">
      <c r="A108" s="89" t="s">
        <v>435</v>
      </c>
    </row>
    <row r="109" ht="12.75">
      <c r="A109" s="89" t="s">
        <v>434</v>
      </c>
    </row>
    <row r="113" ht="12.75">
      <c r="A113" s="549" t="s">
        <v>451</v>
      </c>
    </row>
    <row r="114" ht="12.75">
      <c r="A114" s="549"/>
    </row>
    <row r="115" ht="12.75">
      <c r="A115" s="89" t="s">
        <v>452</v>
      </c>
    </row>
    <row r="117" ht="12.75">
      <c r="A117" s="549" t="s">
        <v>453</v>
      </c>
    </row>
    <row r="118" ht="12.75">
      <c r="A118" s="549"/>
    </row>
    <row r="119" ht="12.75">
      <c r="A119" s="642" t="s">
        <v>494</v>
      </c>
    </row>
    <row r="121" ht="12.75">
      <c r="A121" s="89" t="s">
        <v>493</v>
      </c>
    </row>
    <row r="122" ht="12.75">
      <c r="A122" s="89" t="s">
        <v>459</v>
      </c>
    </row>
    <row r="124" ht="12.75">
      <c r="A124" s="89" t="s">
        <v>495</v>
      </c>
    </row>
    <row r="125" ht="12.75">
      <c r="A125" s="89" t="s">
        <v>485</v>
      </c>
    </row>
    <row r="127" ht="12.75">
      <c r="A127" s="89" t="s">
        <v>468</v>
      </c>
    </row>
    <row r="129" ht="12.75">
      <c r="A129" s="89" t="s">
        <v>496</v>
      </c>
    </row>
    <row r="131" ht="12.75">
      <c r="A131" s="89" t="s">
        <v>497</v>
      </c>
    </row>
    <row r="132" ht="12.75">
      <c r="A132" s="89" t="s">
        <v>484</v>
      </c>
    </row>
    <row r="134" ht="12.75">
      <c r="A134" s="89" t="s">
        <v>498</v>
      </c>
    </row>
    <row r="136" ht="12.75">
      <c r="A136" s="89" t="s">
        <v>499</v>
      </c>
    </row>
    <row r="138" ht="12.75">
      <c r="A138" s="89" t="s">
        <v>463</v>
      </c>
    </row>
    <row r="140" ht="12.75">
      <c r="A140" s="549" t="s">
        <v>454</v>
      </c>
    </row>
    <row r="142" ht="12.75">
      <c r="A142" s="89" t="s">
        <v>455</v>
      </c>
    </row>
    <row r="144" ht="12.75">
      <c r="A144" s="89" t="s">
        <v>456</v>
      </c>
    </row>
    <row r="146" ht="12.75">
      <c r="A146" s="89" t="s">
        <v>457</v>
      </c>
    </row>
    <row r="148" ht="12.75">
      <c r="A148" s="89" t="s">
        <v>458</v>
      </c>
    </row>
    <row r="150" ht="12.75">
      <c r="A150" s="89" t="s">
        <v>483</v>
      </c>
    </row>
    <row r="151" ht="12.75">
      <c r="A151" s="89" t="s">
        <v>482</v>
      </c>
    </row>
    <row r="153" ht="12.75">
      <c r="A153" s="89" t="s">
        <v>460</v>
      </c>
    </row>
    <row r="154" ht="12.75">
      <c r="A154" s="89" t="s">
        <v>461</v>
      </c>
    </row>
    <row r="156" ht="12.75">
      <c r="A156" s="89" t="s">
        <v>489</v>
      </c>
    </row>
    <row r="157" ht="12.75">
      <c r="A157" s="89" t="s">
        <v>488</v>
      </c>
    </row>
    <row r="159" ht="12.75">
      <c r="A159" s="89" t="s">
        <v>462</v>
      </c>
    </row>
    <row r="161" ht="12.75">
      <c r="A161" s="89" t="s">
        <v>481</v>
      </c>
    </row>
    <row r="162" ht="12.75">
      <c r="A162" s="89" t="s">
        <v>480</v>
      </c>
    </row>
    <row r="164" ht="12.75">
      <c r="A164" s="89" t="s">
        <v>463</v>
      </c>
    </row>
    <row r="166" ht="12.75">
      <c r="A166" s="89" t="s">
        <v>464</v>
      </c>
    </row>
    <row r="168" ht="12.75">
      <c r="A168" s="89" t="s">
        <v>479</v>
      </c>
    </row>
    <row r="169" ht="12.75">
      <c r="A169" s="89" t="s">
        <v>478</v>
      </c>
    </row>
    <row r="171" ht="12.75">
      <c r="A171" s="89" t="s">
        <v>465</v>
      </c>
    </row>
    <row r="173" ht="12.75">
      <c r="A173" s="89" t="s">
        <v>466</v>
      </c>
    </row>
    <row r="175" ht="12.75">
      <c r="A175" s="89" t="s">
        <v>467</v>
      </c>
    </row>
    <row r="177" spans="1:2" ht="12.75">
      <c r="A177" s="642" t="s">
        <v>469</v>
      </c>
      <c r="B177" s="642"/>
    </row>
    <row r="178" spans="1:2" ht="12.75">
      <c r="A178" s="642"/>
      <c r="B178" s="642"/>
    </row>
    <row r="179" spans="1:2" ht="12.75">
      <c r="A179" s="642" t="s">
        <v>470</v>
      </c>
      <c r="B179" s="642"/>
    </row>
    <row r="180" spans="1:2" ht="12.75">
      <c r="A180" s="642"/>
      <c r="B180" s="642"/>
    </row>
    <row r="181" spans="1:2" ht="12.75">
      <c r="A181" s="642" t="s">
        <v>477</v>
      </c>
      <c r="B181" s="642"/>
    </row>
    <row r="182" spans="1:2" ht="12.75">
      <c r="A182" s="642" t="s">
        <v>476</v>
      </c>
      <c r="B182" s="642"/>
    </row>
    <row r="183" spans="1:2" ht="12.75">
      <c r="A183" s="642"/>
      <c r="B183" s="642"/>
    </row>
    <row r="184" spans="1:2" ht="12.75">
      <c r="A184" s="642" t="s">
        <v>474</v>
      </c>
      <c r="B184" s="642"/>
    </row>
    <row r="185" spans="1:2" ht="12.75">
      <c r="A185" s="642" t="s">
        <v>475</v>
      </c>
      <c r="B185" s="642"/>
    </row>
    <row r="188" ht="12.75">
      <c r="A188" s="549" t="s">
        <v>492</v>
      </c>
    </row>
    <row r="190" ht="12.75">
      <c r="A190" s="89" t="s">
        <v>472</v>
      </c>
    </row>
    <row r="191" ht="12.75">
      <c r="A191" s="89" t="s">
        <v>486</v>
      </c>
    </row>
    <row r="193" ht="12.75">
      <c r="A193" s="89" t="s">
        <v>471</v>
      </c>
    </row>
    <row r="194" ht="12.75">
      <c r="A194" s="89" t="s">
        <v>473</v>
      </c>
    </row>
    <row r="195" ht="12.75">
      <c r="A195" s="89" t="s">
        <v>487</v>
      </c>
    </row>
  </sheetData>
  <sheetProtection/>
  <mergeCells count="1">
    <mergeCell ref="J4:K4"/>
  </mergeCells>
  <printOptions/>
  <pageMargins left="0.7" right="0.7" top="0.75" bottom="0.75" header="0.3" footer="0.3"/>
  <pageSetup orientation="portrait" r:id="rId1"/>
  <ignoredErrors>
    <ignoredError sqref="J4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2:P57"/>
  <sheetViews>
    <sheetView zoomScale="76" zoomScaleNormal="76" zoomScalePageLayoutView="0" workbookViewId="0" topLeftCell="A12">
      <selection activeCell="Q46" sqref="Q46"/>
    </sheetView>
  </sheetViews>
  <sheetFormatPr defaultColWidth="11.421875" defaultRowHeight="12.75"/>
  <cols>
    <col min="1" max="1" width="38.140625" style="332" bestFit="1" customWidth="1"/>
    <col min="2" max="13" width="13.8515625" style="332" bestFit="1" customWidth="1"/>
    <col min="14" max="14" width="14.8515625" style="332" bestFit="1" customWidth="1"/>
    <col min="15" max="15" width="13.8515625" style="332" bestFit="1" customWidth="1"/>
    <col min="16" max="16" width="17.140625" style="332" bestFit="1" customWidth="1"/>
    <col min="17" max="16384" width="11.421875" style="332" customWidth="1"/>
  </cols>
  <sheetData>
    <row r="2" spans="1:4" ht="15.75">
      <c r="A2" s="1106" t="s">
        <v>259</v>
      </c>
      <c r="B2" s="1106"/>
      <c r="C2" s="1106"/>
      <c r="D2" s="1106"/>
    </row>
    <row r="4" spans="1:13" ht="15">
      <c r="A4" s="333" t="s">
        <v>266</v>
      </c>
      <c r="B4" s="334" t="s">
        <v>242</v>
      </c>
      <c r="C4" s="334" t="s">
        <v>243</v>
      </c>
      <c r="D4" s="334" t="s">
        <v>244</v>
      </c>
      <c r="E4" s="334" t="s">
        <v>245</v>
      </c>
      <c r="F4" s="334" t="s">
        <v>246</v>
      </c>
      <c r="G4" s="334" t="s">
        <v>247</v>
      </c>
      <c r="H4" s="334" t="s">
        <v>248</v>
      </c>
      <c r="I4" s="334" t="s">
        <v>249</v>
      </c>
      <c r="J4" s="334" t="s">
        <v>250</v>
      </c>
      <c r="K4" s="334" t="s">
        <v>251</v>
      </c>
      <c r="L4" s="334" t="s">
        <v>252</v>
      </c>
      <c r="M4" s="334" t="s">
        <v>253</v>
      </c>
    </row>
    <row r="5" spans="1:13" ht="15">
      <c r="A5" s="335" t="s">
        <v>260</v>
      </c>
      <c r="B5" s="336"/>
      <c r="C5" s="336"/>
      <c r="D5" s="336">
        <f>+'B) Reajuste Tarifas y Ocupación'!$I$28</f>
        <v>26</v>
      </c>
      <c r="E5" s="336">
        <f>+'B) Reajuste Tarifas y Ocupación'!$I$28</f>
        <v>26</v>
      </c>
      <c r="F5" s="336">
        <f>+'B) Reajuste Tarifas y Ocupación'!$I$28</f>
        <v>26</v>
      </c>
      <c r="G5" s="336">
        <f>+'B) Reajuste Tarifas y Ocupación'!$I$28</f>
        <v>26</v>
      </c>
      <c r="H5" s="336">
        <f>+'B) Reajuste Tarifas y Ocupación'!$I$28</f>
        <v>26</v>
      </c>
      <c r="I5" s="336">
        <f>+'B) Reajuste Tarifas y Ocupación'!$I$28</f>
        <v>26</v>
      </c>
      <c r="J5" s="336">
        <f>+'B) Reajuste Tarifas y Ocupación'!$I$28</f>
        <v>26</v>
      </c>
      <c r="K5" s="336">
        <f>+'B) Reajuste Tarifas y Ocupación'!$I$28</f>
        <v>26</v>
      </c>
      <c r="L5" s="336">
        <f>+'B) Reajuste Tarifas y Ocupación'!$I$28</f>
        <v>26</v>
      </c>
      <c r="M5" s="336">
        <f>+'B) Reajuste Tarifas y Ocupación'!$I$28</f>
        <v>26</v>
      </c>
    </row>
    <row r="6" spans="1:13" ht="15">
      <c r="A6" s="335" t="s">
        <v>261</v>
      </c>
      <c r="B6" s="336">
        <f>+COUNTA('F) Remuneraciones'!$C$11:$C$18)</f>
        <v>4</v>
      </c>
      <c r="C6" s="336">
        <f>+COUNTA('F) Remuneraciones'!$C$11:$C$18)</f>
        <v>4</v>
      </c>
      <c r="D6" s="336">
        <f>+COUNTA('F) Remuneraciones'!$C$11:$C$18)</f>
        <v>4</v>
      </c>
      <c r="E6" s="336">
        <f>+COUNTA('F) Remuneraciones'!$C$11:$C$18)</f>
        <v>4</v>
      </c>
      <c r="F6" s="336">
        <f>+COUNTA('F) Remuneraciones'!$C$11:$C$18)</f>
        <v>4</v>
      </c>
      <c r="G6" s="336">
        <f>+COUNTA('F) Remuneraciones'!$C$11:$C$18)</f>
        <v>4</v>
      </c>
      <c r="H6" s="336">
        <f>+COUNTA('F) Remuneraciones'!$C$11:$C$18)</f>
        <v>4</v>
      </c>
      <c r="I6" s="336">
        <f>+COUNTA('F) Remuneraciones'!$C$11:$C$18)</f>
        <v>4</v>
      </c>
      <c r="J6" s="336">
        <f>+COUNTA('F) Remuneraciones'!$C$11:$C$18)</f>
        <v>4</v>
      </c>
      <c r="K6" s="336">
        <f>+COUNTA('F) Remuneraciones'!$C$11:$C$18)</f>
        <v>4</v>
      </c>
      <c r="L6" s="336">
        <f>+COUNTA('F) Remuneraciones'!$C$11:$C$18)</f>
        <v>4</v>
      </c>
      <c r="M6" s="336">
        <f>+COUNTA('F) Remuneraciones'!$C$11:$C$18)</f>
        <v>4</v>
      </c>
    </row>
    <row r="7" spans="1:13" ht="15">
      <c r="A7" s="335"/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</row>
    <row r="8" spans="1:14" ht="30">
      <c r="A8" s="338" t="str">
        <f>+'A) Resumen Ingresos y Egresos'!A22</f>
        <v>Jardín Infantil Tortuguita Marina</v>
      </c>
      <c r="B8" s="334" t="s">
        <v>242</v>
      </c>
      <c r="C8" s="334" t="s">
        <v>243</v>
      </c>
      <c r="D8" s="334" t="s">
        <v>244</v>
      </c>
      <c r="E8" s="334" t="s">
        <v>245</v>
      </c>
      <c r="F8" s="334" t="s">
        <v>246</v>
      </c>
      <c r="G8" s="334" t="s">
        <v>247</v>
      </c>
      <c r="H8" s="334" t="s">
        <v>248</v>
      </c>
      <c r="I8" s="334" t="s">
        <v>249</v>
      </c>
      <c r="J8" s="334" t="s">
        <v>250</v>
      </c>
      <c r="K8" s="334" t="s">
        <v>251</v>
      </c>
      <c r="L8" s="334" t="s">
        <v>252</v>
      </c>
      <c r="M8" s="334" t="s">
        <v>253</v>
      </c>
      <c r="N8" s="334" t="s">
        <v>262</v>
      </c>
    </row>
    <row r="9" spans="1:14" ht="15">
      <c r="A9" s="339" t="s">
        <v>254</v>
      </c>
      <c r="B9" s="340">
        <f>+'A) Resumen Ingresos y Egresos'!P28</f>
        <v>0</v>
      </c>
      <c r="C9" s="340">
        <f>+'A) Resumen Ingresos y Egresos'!N28*0.7</f>
        <v>1291010</v>
      </c>
      <c r="D9" s="340">
        <f>+'A) Resumen Ingresos y Egresos'!N28*0.3+'A) Resumen Ingresos y Egresos'!O28*0.1</f>
        <v>2397590</v>
      </c>
      <c r="E9" s="340">
        <f>+'A) Resumen Ingresos y Egresos'!$O$28*0.1</f>
        <v>1844300</v>
      </c>
      <c r="F9" s="340">
        <f>+'A) Resumen Ingresos y Egresos'!$O$28*0.1</f>
        <v>1844300</v>
      </c>
      <c r="G9" s="340">
        <f>+'A) Resumen Ingresos y Egresos'!$O$28*0.1</f>
        <v>1844300</v>
      </c>
      <c r="H9" s="340">
        <f>+'A) Resumen Ingresos y Egresos'!$O$28*0.1</f>
        <v>1844300</v>
      </c>
      <c r="I9" s="340">
        <f>+'A) Resumen Ingresos y Egresos'!$O$28*0.1</f>
        <v>1844300</v>
      </c>
      <c r="J9" s="340">
        <f>+'A) Resumen Ingresos y Egresos'!$O$28*0.1</f>
        <v>1844300</v>
      </c>
      <c r="K9" s="340">
        <f>+'A) Resumen Ingresos y Egresos'!$O$28*0.1</f>
        <v>1844300</v>
      </c>
      <c r="L9" s="340">
        <f>+'A) Resumen Ingresos y Egresos'!$O$28*0.1</f>
        <v>1844300</v>
      </c>
      <c r="M9" s="340">
        <f>+'A) Resumen Ingresos y Egresos'!$O$28*0.1</f>
        <v>1844300</v>
      </c>
      <c r="N9" s="341">
        <f>SUM(B9:M9)</f>
        <v>20287300</v>
      </c>
    </row>
    <row r="10" spans="1:14" ht="15">
      <c r="A10" s="339" t="s">
        <v>255</v>
      </c>
      <c r="B10" s="340">
        <f>SUM('F) Remuneraciones'!$H$11:$H$18)/12</f>
        <v>2026896.1493333336</v>
      </c>
      <c r="C10" s="340">
        <f>SUM('F) Remuneraciones'!$H$11:$H$18)/12</f>
        <v>2026896.1493333336</v>
      </c>
      <c r="D10" s="340">
        <f>SUM('F) Remuneraciones'!$H$11:$H$18)/12</f>
        <v>2026896.1493333336</v>
      </c>
      <c r="E10" s="340">
        <f>SUM('F) Remuneraciones'!$H$11:$H$18)/12</f>
        <v>2026896.1493333336</v>
      </c>
      <c r="F10" s="340">
        <f>SUM('F) Remuneraciones'!$H$11:$H$18)/12</f>
        <v>2026896.1493333336</v>
      </c>
      <c r="G10" s="340">
        <f>SUM('F) Remuneraciones'!$H$11:$H$18)/12</f>
        <v>2026896.1493333336</v>
      </c>
      <c r="H10" s="340">
        <f>SUM('F) Remuneraciones'!$H$11:$H$18)/12</f>
        <v>2026896.1493333336</v>
      </c>
      <c r="I10" s="340">
        <f>SUM('F) Remuneraciones'!$H$11:$H$18)/12</f>
        <v>2026896.1493333336</v>
      </c>
      <c r="J10" s="340">
        <f>SUM('F) Remuneraciones'!$H$11:$H$18)/12</f>
        <v>2026896.1493333336</v>
      </c>
      <c r="K10" s="340">
        <f>SUM('F) Remuneraciones'!$H$11:$H$18)/12</f>
        <v>2026896.1493333336</v>
      </c>
      <c r="L10" s="340">
        <f>SUM('F) Remuneraciones'!$H$11:$H$18)/12</f>
        <v>2026896.1493333336</v>
      </c>
      <c r="M10" s="340">
        <f>SUM('F) Remuneraciones'!$H$11:$H$18)/12</f>
        <v>2026896.1493333336</v>
      </c>
      <c r="N10" s="341">
        <f>SUM(B10:M10)</f>
        <v>24322753.79200001</v>
      </c>
    </row>
    <row r="11" spans="1:14" ht="15">
      <c r="A11" s="339" t="s">
        <v>257</v>
      </c>
      <c r="B11" s="340">
        <f>SUM('F) Remuneraciones'!I11:I18*0.5)</f>
        <v>135261</v>
      </c>
      <c r="C11" s="340">
        <v>0</v>
      </c>
      <c r="D11" s="340">
        <v>0</v>
      </c>
      <c r="E11" s="340">
        <v>0</v>
      </c>
      <c r="F11" s="340">
        <v>0</v>
      </c>
      <c r="G11" s="340">
        <v>0</v>
      </c>
      <c r="H11" s="340">
        <v>0</v>
      </c>
      <c r="I11" s="340">
        <v>0</v>
      </c>
      <c r="J11" s="340">
        <f>SUM('F) Remuneraciones'!J11:J18*0.5)</f>
        <v>66655</v>
      </c>
      <c r="K11" s="340">
        <v>0</v>
      </c>
      <c r="L11" s="340">
        <v>0</v>
      </c>
      <c r="M11" s="340">
        <f>+B11+J11</f>
        <v>201916</v>
      </c>
      <c r="N11" s="341">
        <f>SUM(B11:M11)</f>
        <v>403832</v>
      </c>
    </row>
    <row r="12" spans="1:15" ht="15">
      <c r="A12" s="339" t="s">
        <v>256</v>
      </c>
      <c r="B12" s="340">
        <f>(+'C) Costos Directos'!$H$75-'C) Costos Directos'!$D$14)*0.05</f>
        <v>456656.137675</v>
      </c>
      <c r="C12" s="340">
        <f>(+'C) Costos Directos'!$H$75-'C) Costos Directos'!$D$14)*0.05</f>
        <v>456656.137675</v>
      </c>
      <c r="D12" s="340">
        <f>(+'C) Costos Directos'!$H$75-'C) Costos Directos'!$D$14)*0.09</f>
        <v>821981.0478149999</v>
      </c>
      <c r="E12" s="340">
        <f>(+'C) Costos Directos'!$H$75-'C) Costos Directos'!$D$14)*0.09</f>
        <v>821981.0478149999</v>
      </c>
      <c r="F12" s="340">
        <f>(+'C) Costos Directos'!$H$75-'C) Costos Directos'!$D$14)*0.09</f>
        <v>821981.0478149999</v>
      </c>
      <c r="G12" s="340">
        <f>(+'C) Costos Directos'!$H$75-'C) Costos Directos'!$D$14)*0.09</f>
        <v>821981.0478149999</v>
      </c>
      <c r="H12" s="340">
        <f>(+'C) Costos Directos'!$H$75-'C) Costos Directos'!$D$14)*0.09</f>
        <v>821981.0478149999</v>
      </c>
      <c r="I12" s="340">
        <f>(+'C) Costos Directos'!$H$75-'C) Costos Directos'!$D$14)*0.09</f>
        <v>821981.0478149999</v>
      </c>
      <c r="J12" s="340">
        <f>(+'C) Costos Directos'!$H$75-'C) Costos Directos'!$D$14)*0.09</f>
        <v>821981.0478149999</v>
      </c>
      <c r="K12" s="340">
        <f>(+'C) Costos Directos'!$H$75-'C) Costos Directos'!$D$14)*0.09</f>
        <v>821981.0478149999</v>
      </c>
      <c r="L12" s="340">
        <f>(+'C) Costos Directos'!$H$75-'C) Costos Directos'!$D$14)*0.09</f>
        <v>821981.0478149999</v>
      </c>
      <c r="M12" s="340">
        <f>(+'C) Costos Directos'!$H$75-'C) Costos Directos'!$D$14)*0.09</f>
        <v>821981.0478149999</v>
      </c>
      <c r="N12" s="341">
        <f>SUM(B12:M12)</f>
        <v>9133122.753499998</v>
      </c>
      <c r="O12" s="340"/>
    </row>
    <row r="13" spans="1:15" ht="15">
      <c r="A13" s="342" t="s">
        <v>263</v>
      </c>
      <c r="B13" s="343">
        <f aca="true" t="shared" si="0" ref="B13:M13">+B9-B10-B11-B12</f>
        <v>-2618813.2870083335</v>
      </c>
      <c r="C13" s="343">
        <f t="shared" si="0"/>
        <v>-1192542.2870083335</v>
      </c>
      <c r="D13" s="343">
        <f t="shared" si="0"/>
        <v>-451287.19714833354</v>
      </c>
      <c r="E13" s="343">
        <f t="shared" si="0"/>
        <v>-1004577.1971483335</v>
      </c>
      <c r="F13" s="343">
        <f t="shared" si="0"/>
        <v>-1004577.1971483335</v>
      </c>
      <c r="G13" s="343">
        <f t="shared" si="0"/>
        <v>-1004577.1971483335</v>
      </c>
      <c r="H13" s="343">
        <f t="shared" si="0"/>
        <v>-1004577.1971483335</v>
      </c>
      <c r="I13" s="343">
        <f t="shared" si="0"/>
        <v>-1004577.1971483335</v>
      </c>
      <c r="J13" s="343">
        <f t="shared" si="0"/>
        <v>-1071232.1971483335</v>
      </c>
      <c r="K13" s="343">
        <f t="shared" si="0"/>
        <v>-1004577.1971483335</v>
      </c>
      <c r="L13" s="343">
        <f t="shared" si="0"/>
        <v>-1004577.1971483335</v>
      </c>
      <c r="M13" s="343">
        <f t="shared" si="0"/>
        <v>-1206493.1971483335</v>
      </c>
      <c r="N13" s="343">
        <f>+N9-N10-N11-N12</f>
        <v>-13572408.545500008</v>
      </c>
      <c r="O13" s="340"/>
    </row>
    <row r="16" spans="1:13" ht="15">
      <c r="A16" s="333" t="s">
        <v>266</v>
      </c>
      <c r="B16" s="334" t="s">
        <v>242</v>
      </c>
      <c r="C16" s="334" t="s">
        <v>243</v>
      </c>
      <c r="D16" s="334" t="s">
        <v>244</v>
      </c>
      <c r="E16" s="334" t="s">
        <v>245</v>
      </c>
      <c r="F16" s="334" t="s">
        <v>246</v>
      </c>
      <c r="G16" s="334" t="s">
        <v>247</v>
      </c>
      <c r="H16" s="334" t="s">
        <v>248</v>
      </c>
      <c r="I16" s="334" t="s">
        <v>249</v>
      </c>
      <c r="J16" s="334" t="s">
        <v>250</v>
      </c>
      <c r="K16" s="334" t="s">
        <v>251</v>
      </c>
      <c r="L16" s="334" t="s">
        <v>252</v>
      </c>
      <c r="M16" s="334" t="s">
        <v>253</v>
      </c>
    </row>
    <row r="17" spans="1:13" ht="15">
      <c r="A17" s="335" t="s">
        <v>260</v>
      </c>
      <c r="B17" s="336"/>
      <c r="C17" s="336"/>
      <c r="D17" s="336">
        <f>+'B) Reajuste Tarifas y Ocupación'!$I$30</f>
        <v>25</v>
      </c>
      <c r="E17" s="336">
        <f>+'B) Reajuste Tarifas y Ocupación'!$I$30</f>
        <v>25</v>
      </c>
      <c r="F17" s="336">
        <f>+'B) Reajuste Tarifas y Ocupación'!$I$30</f>
        <v>25</v>
      </c>
      <c r="G17" s="336">
        <f>+'B) Reajuste Tarifas y Ocupación'!$I$30</f>
        <v>25</v>
      </c>
      <c r="H17" s="336">
        <f>+'B) Reajuste Tarifas y Ocupación'!$I$30</f>
        <v>25</v>
      </c>
      <c r="I17" s="336">
        <f>+'B) Reajuste Tarifas y Ocupación'!$I$30</f>
        <v>25</v>
      </c>
      <c r="J17" s="336">
        <f>+'B) Reajuste Tarifas y Ocupación'!$I$30</f>
        <v>25</v>
      </c>
      <c r="K17" s="336">
        <f>+'B) Reajuste Tarifas y Ocupación'!$I$30</f>
        <v>25</v>
      </c>
      <c r="L17" s="336">
        <f>+'B) Reajuste Tarifas y Ocupación'!$I$30</f>
        <v>25</v>
      </c>
      <c r="M17" s="336">
        <f>+'B) Reajuste Tarifas y Ocupación'!$I$30</f>
        <v>25</v>
      </c>
    </row>
    <row r="18" spans="1:13" ht="15">
      <c r="A18" s="335" t="s">
        <v>261</v>
      </c>
      <c r="B18" s="336">
        <f>+COUNTA('F) Remuneraciones'!$C$19:$C$26)</f>
        <v>4</v>
      </c>
      <c r="C18" s="336">
        <f>+COUNTA('F) Remuneraciones'!$C$19:$C$26)</f>
        <v>4</v>
      </c>
      <c r="D18" s="336">
        <f>+COUNTA('F) Remuneraciones'!$C$19:$C$26)</f>
        <v>4</v>
      </c>
      <c r="E18" s="336">
        <f>+COUNTA('F) Remuneraciones'!$C$19:$C$26)</f>
        <v>4</v>
      </c>
      <c r="F18" s="336">
        <f>+COUNTA('F) Remuneraciones'!$C$19:$C$26)</f>
        <v>4</v>
      </c>
      <c r="G18" s="336">
        <f>+COUNTA('F) Remuneraciones'!$C$19:$C$26)</f>
        <v>4</v>
      </c>
      <c r="H18" s="336">
        <f>+COUNTA('F) Remuneraciones'!$C$19:$C$26)</f>
        <v>4</v>
      </c>
      <c r="I18" s="336">
        <f>+COUNTA('F) Remuneraciones'!$C$19:$C$26)</f>
        <v>4</v>
      </c>
      <c r="J18" s="336">
        <f>+COUNTA('F) Remuneraciones'!$C$19:$C$26)</f>
        <v>4</v>
      </c>
      <c r="K18" s="336">
        <f>+COUNTA('F) Remuneraciones'!$C$19:$C$26)</f>
        <v>4</v>
      </c>
      <c r="L18" s="336">
        <f>+COUNTA('F) Remuneraciones'!$C$19:$C$26)</f>
        <v>4</v>
      </c>
      <c r="M18" s="336">
        <f>+COUNTA('F) Remuneraciones'!$C$19:$C$26)</f>
        <v>4</v>
      </c>
    </row>
    <row r="19" spans="1:13" ht="15">
      <c r="A19" s="335"/>
      <c r="B19" s="337"/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</row>
    <row r="20" spans="1:14" ht="30">
      <c r="A20" s="338" t="str">
        <f>+'A) Resumen Ingresos y Egresos'!A29</f>
        <v>Jardín Infantil Burbujitas de Mar</v>
      </c>
      <c r="B20" s="334" t="s">
        <v>242</v>
      </c>
      <c r="C20" s="334" t="s">
        <v>243</v>
      </c>
      <c r="D20" s="334" t="s">
        <v>244</v>
      </c>
      <c r="E20" s="334" t="s">
        <v>245</v>
      </c>
      <c r="F20" s="334" t="s">
        <v>246</v>
      </c>
      <c r="G20" s="334" t="s">
        <v>247</v>
      </c>
      <c r="H20" s="334" t="s">
        <v>248</v>
      </c>
      <c r="I20" s="334" t="s">
        <v>249</v>
      </c>
      <c r="J20" s="334" t="s">
        <v>250</v>
      </c>
      <c r="K20" s="334" t="s">
        <v>251</v>
      </c>
      <c r="L20" s="334" t="s">
        <v>252</v>
      </c>
      <c r="M20" s="334" t="s">
        <v>253</v>
      </c>
      <c r="N20" s="334" t="s">
        <v>262</v>
      </c>
    </row>
    <row r="21" spans="1:14" ht="15">
      <c r="A21" s="339" t="s">
        <v>254</v>
      </c>
      <c r="B21" s="340">
        <f>+'A) Resumen Ingresos y Egresos'!P35</f>
        <v>0</v>
      </c>
      <c r="C21" s="340">
        <f>+'A) Resumen Ingresos y Egresos'!N35*0.7</f>
        <v>2320080</v>
      </c>
      <c r="D21" s="340">
        <f>+'A) Resumen Ingresos y Egresos'!N35*0.3+'A) Resumen Ingresos y Egresos'!O35*0.1</f>
        <v>4308720</v>
      </c>
      <c r="E21" s="340">
        <f>+'A) Resumen Ingresos y Egresos'!$O$35*0.1</f>
        <v>3314400</v>
      </c>
      <c r="F21" s="340">
        <f>+'A) Resumen Ingresos y Egresos'!$O$35*0.1</f>
        <v>3314400</v>
      </c>
      <c r="G21" s="340">
        <f>+'A) Resumen Ingresos y Egresos'!$O$35*0.1</f>
        <v>3314400</v>
      </c>
      <c r="H21" s="340">
        <f>+'A) Resumen Ingresos y Egresos'!$O$35*0.1</f>
        <v>3314400</v>
      </c>
      <c r="I21" s="340">
        <f>+'A) Resumen Ingresos y Egresos'!$O$35*0.1</f>
        <v>3314400</v>
      </c>
      <c r="J21" s="340">
        <f>+'A) Resumen Ingresos y Egresos'!$O$35*0.1</f>
        <v>3314400</v>
      </c>
      <c r="K21" s="340">
        <f>+'A) Resumen Ingresos y Egresos'!$O$35*0.1</f>
        <v>3314400</v>
      </c>
      <c r="L21" s="340">
        <f>+'A) Resumen Ingresos y Egresos'!$O$35*0.1</f>
        <v>3314400</v>
      </c>
      <c r="M21" s="340">
        <f>+'A) Resumen Ingresos y Egresos'!$O$35*0.1</f>
        <v>3314400</v>
      </c>
      <c r="N21" s="341">
        <f>SUM(B21:M21)</f>
        <v>36458400</v>
      </c>
    </row>
    <row r="22" spans="1:14" ht="15">
      <c r="A22" s="339" t="s">
        <v>255</v>
      </c>
      <c r="B22" s="340">
        <f>SUM('F) Remuneraciones'!$H$20:$H$26)/12</f>
        <v>1500901.84</v>
      </c>
      <c r="C22" s="340">
        <f>SUM('F) Remuneraciones'!$H$20:$H$26)/12</f>
        <v>1500901.84</v>
      </c>
      <c r="D22" s="340">
        <f>SUM('F) Remuneraciones'!$H$20:$H$26)/12</f>
        <v>1500901.84</v>
      </c>
      <c r="E22" s="340">
        <f>SUM('F) Remuneraciones'!$H$20:$H$26)/12</f>
        <v>1500901.84</v>
      </c>
      <c r="F22" s="340">
        <f>SUM('F) Remuneraciones'!$H$20:$H$26)/12</f>
        <v>1500901.84</v>
      </c>
      <c r="G22" s="340">
        <f>SUM('F) Remuneraciones'!$H$20:$H$26)/12</f>
        <v>1500901.84</v>
      </c>
      <c r="H22" s="340">
        <f>SUM('F) Remuneraciones'!$H$20:$H$26)/12</f>
        <v>1500901.84</v>
      </c>
      <c r="I22" s="340">
        <f>SUM('F) Remuneraciones'!$H$20:$H$26)/12</f>
        <v>1500901.84</v>
      </c>
      <c r="J22" s="340">
        <f>SUM('F) Remuneraciones'!$H$20:$H$26)/12</f>
        <v>1500901.84</v>
      </c>
      <c r="K22" s="340">
        <f>SUM('F) Remuneraciones'!$H$20:$H$26)/12</f>
        <v>1500901.84</v>
      </c>
      <c r="L22" s="340">
        <f>SUM('F) Remuneraciones'!$H$20:$H$26)/12</f>
        <v>1500901.84</v>
      </c>
      <c r="M22" s="340">
        <f>SUM('F) Remuneraciones'!$H$20:$H$26)/12</f>
        <v>1500901.84</v>
      </c>
      <c r="N22" s="341">
        <f>SUM(B22:M22)</f>
        <v>18010822.080000002</v>
      </c>
    </row>
    <row r="23" spans="1:14" ht="15">
      <c r="A23" s="339" t="s">
        <v>257</v>
      </c>
      <c r="B23" s="340">
        <f>SUM('F) Remuneraciones'!I20:I26)*0.5</f>
        <v>405783</v>
      </c>
      <c r="C23" s="340">
        <v>0</v>
      </c>
      <c r="D23" s="340">
        <v>0</v>
      </c>
      <c r="E23" s="340">
        <v>0</v>
      </c>
      <c r="F23" s="340">
        <v>0</v>
      </c>
      <c r="G23" s="340">
        <v>0</v>
      </c>
      <c r="H23" s="340">
        <v>0</v>
      </c>
      <c r="I23" s="340">
        <v>0</v>
      </c>
      <c r="J23" s="340">
        <f>SUM('F) Remuneraciones'!J20:J26)*0.5</f>
        <v>199965</v>
      </c>
      <c r="K23" s="340">
        <v>0</v>
      </c>
      <c r="L23" s="340">
        <v>0</v>
      </c>
      <c r="M23" s="340">
        <f>+B23+J23</f>
        <v>605748</v>
      </c>
      <c r="N23" s="341">
        <f>SUM(B23:M23)</f>
        <v>1211496</v>
      </c>
    </row>
    <row r="24" spans="1:14" ht="15">
      <c r="A24" s="339" t="s">
        <v>256</v>
      </c>
      <c r="B24" s="340">
        <f>(+'C) Costos Directos'!$H$139-'C) Costos Directos'!$D$78)/12</f>
        <v>822602.3170784557</v>
      </c>
      <c r="C24" s="340">
        <f>(+'C) Costos Directos'!$H$139-'C) Costos Directos'!$D$78)/12</f>
        <v>822602.3170784557</v>
      </c>
      <c r="D24" s="340">
        <f>(+'C) Costos Directos'!$H$139-'C) Costos Directos'!$D$78)/12</f>
        <v>822602.3170784557</v>
      </c>
      <c r="E24" s="340">
        <f>(+'C) Costos Directos'!$H$139-'C) Costos Directos'!$D$78)/12</f>
        <v>822602.3170784557</v>
      </c>
      <c r="F24" s="340">
        <f>(+'C) Costos Directos'!$H$139-'C) Costos Directos'!$D$78)/12</f>
        <v>822602.3170784557</v>
      </c>
      <c r="G24" s="340">
        <f>(+'C) Costos Directos'!$H$139-'C) Costos Directos'!$D$78)/12</f>
        <v>822602.3170784557</v>
      </c>
      <c r="H24" s="340">
        <f>(+'C) Costos Directos'!$H$139-'C) Costos Directos'!$D$78)/12</f>
        <v>822602.3170784557</v>
      </c>
      <c r="I24" s="340">
        <f>(+'C) Costos Directos'!$H$139-'C) Costos Directos'!$D$78)/12</f>
        <v>822602.3170784557</v>
      </c>
      <c r="J24" s="340">
        <f>(+'C) Costos Directos'!$H$139-'C) Costos Directos'!$D$78)/12</f>
        <v>822602.3170784557</v>
      </c>
      <c r="K24" s="340">
        <f>(+'C) Costos Directos'!$H$139-'C) Costos Directos'!$D$78)/12</f>
        <v>822602.3170784557</v>
      </c>
      <c r="L24" s="340">
        <f>(+'C) Costos Directos'!$H$139-'C) Costos Directos'!$D$78)/12</f>
        <v>822602.3170784557</v>
      </c>
      <c r="M24" s="340">
        <f>(+'C) Costos Directos'!$H$139-'C) Costos Directos'!$D$78)/12</f>
        <v>822602.3170784557</v>
      </c>
      <c r="N24" s="341">
        <f>SUM(B24:M24)</f>
        <v>9871227.804941468</v>
      </c>
    </row>
    <row r="25" spans="1:14" ht="15">
      <c r="A25" s="342" t="s">
        <v>263</v>
      </c>
      <c r="B25" s="343">
        <f aca="true" t="shared" si="1" ref="B25:M25">+B21-B22-B23-B24</f>
        <v>-2729287.1570784557</v>
      </c>
      <c r="C25" s="343">
        <f t="shared" si="1"/>
        <v>-3424.1570784557844</v>
      </c>
      <c r="D25" s="343">
        <f t="shared" si="1"/>
        <v>1985215.8429215443</v>
      </c>
      <c r="E25" s="343">
        <f t="shared" si="1"/>
        <v>990895.8429215442</v>
      </c>
      <c r="F25" s="343">
        <f t="shared" si="1"/>
        <v>990895.8429215442</v>
      </c>
      <c r="G25" s="343">
        <f t="shared" si="1"/>
        <v>990895.8429215442</v>
      </c>
      <c r="H25" s="343">
        <f t="shared" si="1"/>
        <v>990895.8429215442</v>
      </c>
      <c r="I25" s="343">
        <f t="shared" si="1"/>
        <v>990895.8429215442</v>
      </c>
      <c r="J25" s="343">
        <f t="shared" si="1"/>
        <v>790930.8429215442</v>
      </c>
      <c r="K25" s="343">
        <f t="shared" si="1"/>
        <v>990895.8429215442</v>
      </c>
      <c r="L25" s="343">
        <f t="shared" si="1"/>
        <v>990895.8429215442</v>
      </c>
      <c r="M25" s="343">
        <f t="shared" si="1"/>
        <v>385147.8429215442</v>
      </c>
      <c r="N25" s="343">
        <f>+N21-N22-N23-N24</f>
        <v>7364854.11505853</v>
      </c>
    </row>
    <row r="28" spans="1:13" ht="15">
      <c r="A28" s="333" t="s">
        <v>266</v>
      </c>
      <c r="B28" s="334" t="s">
        <v>242</v>
      </c>
      <c r="C28" s="334" t="s">
        <v>243</v>
      </c>
      <c r="D28" s="334" t="s">
        <v>244</v>
      </c>
      <c r="E28" s="334" t="s">
        <v>245</v>
      </c>
      <c r="F28" s="334" t="s">
        <v>246</v>
      </c>
      <c r="G28" s="334" t="s">
        <v>247</v>
      </c>
      <c r="H28" s="334" t="s">
        <v>248</v>
      </c>
      <c r="I28" s="334" t="s">
        <v>249</v>
      </c>
      <c r="J28" s="334" t="s">
        <v>250</v>
      </c>
      <c r="K28" s="334" t="s">
        <v>251</v>
      </c>
      <c r="L28" s="334" t="s">
        <v>252</v>
      </c>
      <c r="M28" s="334" t="s">
        <v>253</v>
      </c>
    </row>
    <row r="29" spans="1:13" ht="15">
      <c r="A29" s="335" t="s">
        <v>260</v>
      </c>
      <c r="B29" s="336">
        <f>+'B) Reajuste Tarifas y Ocupación'!$I$36</f>
        <v>42</v>
      </c>
      <c r="C29" s="336">
        <f>+'B) Reajuste Tarifas y Ocupación'!$I$36</f>
        <v>42</v>
      </c>
      <c r="D29" s="336">
        <f>+'B) Reajuste Tarifas y Ocupación'!$I$36</f>
        <v>42</v>
      </c>
      <c r="E29" s="336">
        <f>+'B) Reajuste Tarifas y Ocupación'!$I$36</f>
        <v>42</v>
      </c>
      <c r="F29" s="336">
        <f>+'B) Reajuste Tarifas y Ocupación'!$I$36</f>
        <v>42</v>
      </c>
      <c r="G29" s="336">
        <f>+'B) Reajuste Tarifas y Ocupación'!$I$36</f>
        <v>42</v>
      </c>
      <c r="H29" s="336">
        <f>+'B) Reajuste Tarifas y Ocupación'!$I$36</f>
        <v>42</v>
      </c>
      <c r="I29" s="336">
        <f>+'B) Reajuste Tarifas y Ocupación'!$I$36</f>
        <v>42</v>
      </c>
      <c r="J29" s="336">
        <f>+'B) Reajuste Tarifas y Ocupación'!$I$36</f>
        <v>42</v>
      </c>
      <c r="K29" s="336">
        <f>+'B) Reajuste Tarifas y Ocupación'!$I$36</f>
        <v>42</v>
      </c>
      <c r="L29" s="336">
        <f>+'B) Reajuste Tarifas y Ocupación'!$I$36</f>
        <v>42</v>
      </c>
      <c r="M29" s="336">
        <f>+'B) Reajuste Tarifas y Ocupación'!$I$36</f>
        <v>42</v>
      </c>
    </row>
    <row r="30" spans="1:13" ht="15">
      <c r="A30" s="335" t="s">
        <v>261</v>
      </c>
      <c r="B30" s="336">
        <f>+COUNTA('F) Remuneraciones'!$C$29:$C$43)</f>
        <v>12</v>
      </c>
      <c r="C30" s="336">
        <f>+COUNTA('F) Remuneraciones'!$C$29:$C$43)</f>
        <v>12</v>
      </c>
      <c r="D30" s="336">
        <f>+COUNTA('F) Remuneraciones'!$C$29:$C$43)</f>
        <v>12</v>
      </c>
      <c r="E30" s="336">
        <f>+COUNTA('F) Remuneraciones'!$C$29:$C$43)</f>
        <v>12</v>
      </c>
      <c r="F30" s="336">
        <f>+COUNTA('F) Remuneraciones'!$C$29:$C$43)</f>
        <v>12</v>
      </c>
      <c r="G30" s="336">
        <f>+COUNTA('F) Remuneraciones'!$C$29:$C$43)</f>
        <v>12</v>
      </c>
      <c r="H30" s="336">
        <f>+COUNTA('F) Remuneraciones'!$C$29:$C$43)</f>
        <v>12</v>
      </c>
      <c r="I30" s="336">
        <f>+COUNTA('F) Remuneraciones'!$C$29:$C$43)</f>
        <v>12</v>
      </c>
      <c r="J30" s="336">
        <f>+COUNTA('F) Remuneraciones'!$C$29:$C$43)</f>
        <v>12</v>
      </c>
      <c r="K30" s="336">
        <f>+COUNTA('F) Remuneraciones'!$C$29:$C$43)</f>
        <v>12</v>
      </c>
      <c r="L30" s="336">
        <f>+COUNTA('F) Remuneraciones'!$C$29:$C$43)</f>
        <v>12</v>
      </c>
      <c r="M30" s="336">
        <f>+COUNTA('F) Remuneraciones'!$C$29:$C$43)</f>
        <v>12</v>
      </c>
    </row>
    <row r="31" spans="1:13" ht="15">
      <c r="A31" s="335"/>
      <c r="B31" s="337"/>
      <c r="C31" s="337"/>
      <c r="D31" s="337"/>
      <c r="E31" s="337"/>
      <c r="F31" s="337"/>
      <c r="G31" s="337"/>
      <c r="H31" s="337"/>
      <c r="I31" s="337"/>
      <c r="J31" s="337"/>
      <c r="K31" s="337"/>
      <c r="L31" s="337"/>
      <c r="M31" s="337"/>
    </row>
    <row r="32" spans="1:14" ht="30">
      <c r="A32" s="338" t="s">
        <v>267</v>
      </c>
      <c r="B32" s="334" t="s">
        <v>242</v>
      </c>
      <c r="C32" s="334" t="s">
        <v>243</v>
      </c>
      <c r="D32" s="334" t="s">
        <v>244</v>
      </c>
      <c r="E32" s="334" t="s">
        <v>245</v>
      </c>
      <c r="F32" s="334" t="s">
        <v>246</v>
      </c>
      <c r="G32" s="334" t="s">
        <v>247</v>
      </c>
      <c r="H32" s="334" t="s">
        <v>248</v>
      </c>
      <c r="I32" s="334" t="s">
        <v>249</v>
      </c>
      <c r="J32" s="334" t="s">
        <v>250</v>
      </c>
      <c r="K32" s="334" t="s">
        <v>251</v>
      </c>
      <c r="L32" s="334" t="s">
        <v>252</v>
      </c>
      <c r="M32" s="334" t="s">
        <v>253</v>
      </c>
      <c r="N32" s="334" t="s">
        <v>262</v>
      </c>
    </row>
    <row r="33" spans="1:14" ht="15">
      <c r="A33" s="339" t="s">
        <v>254</v>
      </c>
      <c r="B33" s="340">
        <f>+('A) Resumen Ingresos y Egresos'!$N$38+'A) Resumen Ingresos y Egresos'!$O$38+'A) Resumen Ingresos y Egresos'!$N$44+'A) Resumen Ingresos y Egresos'!$O$44)/12</f>
        <v>14746500</v>
      </c>
      <c r="C33" s="340">
        <f>+('A) Resumen Ingresos y Egresos'!$N$38+'A) Resumen Ingresos y Egresos'!$O$38+'A) Resumen Ingresos y Egresos'!$N$44+'A) Resumen Ingresos y Egresos'!$O$44)/12</f>
        <v>14746500</v>
      </c>
      <c r="D33" s="340">
        <f>+('A) Resumen Ingresos y Egresos'!$N$38+'A) Resumen Ingresos y Egresos'!$O$38+'A) Resumen Ingresos y Egresos'!$N$44+'A) Resumen Ingresos y Egresos'!$O$44)/12</f>
        <v>14746500</v>
      </c>
      <c r="E33" s="340">
        <f>+('A) Resumen Ingresos y Egresos'!$N$38+'A) Resumen Ingresos y Egresos'!$O$38+'A) Resumen Ingresos y Egresos'!$N$44+'A) Resumen Ingresos y Egresos'!$O$44)/12</f>
        <v>14746500</v>
      </c>
      <c r="F33" s="340">
        <f>+('A) Resumen Ingresos y Egresos'!$N$38+'A) Resumen Ingresos y Egresos'!$O$38+'A) Resumen Ingresos y Egresos'!$N$44+'A) Resumen Ingresos y Egresos'!$O$44)/12</f>
        <v>14746500</v>
      </c>
      <c r="G33" s="340">
        <f>+('A) Resumen Ingresos y Egresos'!$N$38+'A) Resumen Ingresos y Egresos'!$O$38+'A) Resumen Ingresos y Egresos'!$N$44+'A) Resumen Ingresos y Egresos'!$O$44)/12</f>
        <v>14746500</v>
      </c>
      <c r="H33" s="340">
        <f>+('A) Resumen Ingresos y Egresos'!$N$38+'A) Resumen Ingresos y Egresos'!$O$38+'A) Resumen Ingresos y Egresos'!$N$44+'A) Resumen Ingresos y Egresos'!$O$44)/12</f>
        <v>14746500</v>
      </c>
      <c r="I33" s="340">
        <f>+('A) Resumen Ingresos y Egresos'!$N$38+'A) Resumen Ingresos y Egresos'!$O$38+'A) Resumen Ingresos y Egresos'!$N$44+'A) Resumen Ingresos y Egresos'!$O$44)/12</f>
        <v>14746500</v>
      </c>
      <c r="J33" s="340">
        <f>+('A) Resumen Ingresos y Egresos'!$N$38+'A) Resumen Ingresos y Egresos'!$O$38+'A) Resumen Ingresos y Egresos'!$N$44+'A) Resumen Ingresos y Egresos'!$O$44)/12</f>
        <v>14746500</v>
      </c>
      <c r="K33" s="340">
        <f>+('A) Resumen Ingresos y Egresos'!$N$38+'A) Resumen Ingresos y Egresos'!$O$38+'A) Resumen Ingresos y Egresos'!$N$44+'A) Resumen Ingresos y Egresos'!$O$44)/12</f>
        <v>14746500</v>
      </c>
      <c r="L33" s="340">
        <f>+('A) Resumen Ingresos y Egresos'!$N$38+'A) Resumen Ingresos y Egresos'!$O$38+'A) Resumen Ingresos y Egresos'!$N$44+'A) Resumen Ingresos y Egresos'!$O$44)/12</f>
        <v>14746500</v>
      </c>
      <c r="M33" s="340">
        <f>+('A) Resumen Ingresos y Egresos'!$N$38+'A) Resumen Ingresos y Egresos'!$O$38+'A) Resumen Ingresos y Egresos'!$N$44+'A) Resumen Ingresos y Egresos'!$O$44)/12</f>
        <v>14746500</v>
      </c>
      <c r="N33" s="341">
        <f>SUM(B33:M33)</f>
        <v>176958000</v>
      </c>
    </row>
    <row r="34" spans="1:14" ht="15">
      <c r="A34" s="339" t="s">
        <v>255</v>
      </c>
      <c r="B34" s="340">
        <f>SUM('F) Remuneraciones'!$H$29:$H$43)/12</f>
        <v>6924825.2</v>
      </c>
      <c r="C34" s="340">
        <f>SUM('F) Remuneraciones'!$H$29:$H$43)/12</f>
        <v>6924825.2</v>
      </c>
      <c r="D34" s="340">
        <f>SUM('F) Remuneraciones'!$H$29:$H$43)/12</f>
        <v>6924825.2</v>
      </c>
      <c r="E34" s="340">
        <f>SUM('F) Remuneraciones'!$H$29:$H$43)/12</f>
        <v>6924825.2</v>
      </c>
      <c r="F34" s="340">
        <f>SUM('F) Remuneraciones'!$H$29:$H$43)/12</f>
        <v>6924825.2</v>
      </c>
      <c r="G34" s="340">
        <f>SUM('F) Remuneraciones'!$H$29:$H$43)/12</f>
        <v>6924825.2</v>
      </c>
      <c r="H34" s="340">
        <f>SUM('F) Remuneraciones'!$H$29:$H$43)/12</f>
        <v>6924825.2</v>
      </c>
      <c r="I34" s="340">
        <f>SUM('F) Remuneraciones'!$H$29:$H$43)/12</f>
        <v>6924825.2</v>
      </c>
      <c r="J34" s="340">
        <f>SUM('F) Remuneraciones'!$H$29:$H$43)/12</f>
        <v>6924825.2</v>
      </c>
      <c r="K34" s="340">
        <f>SUM('F) Remuneraciones'!$H$29:$H$43)/12</f>
        <v>6924825.2</v>
      </c>
      <c r="L34" s="340">
        <f>SUM('F) Remuneraciones'!$H$29:$H$43)/12</f>
        <v>6924825.2</v>
      </c>
      <c r="M34" s="340">
        <f>SUM('F) Remuneraciones'!$H$29:$H$43)/12</f>
        <v>6924825.2</v>
      </c>
      <c r="N34" s="341">
        <f>SUM(B34:M34)</f>
        <v>83097902.40000002</v>
      </c>
    </row>
    <row r="35" spans="1:14" ht="15">
      <c r="A35" s="339" t="s">
        <v>257</v>
      </c>
      <c r="B35" s="340">
        <f>SUM('F) Remuneraciones'!I29:I43)*0.5</f>
        <v>1352610</v>
      </c>
      <c r="C35" s="340">
        <v>0</v>
      </c>
      <c r="D35" s="340">
        <v>0</v>
      </c>
      <c r="E35" s="340">
        <v>0</v>
      </c>
      <c r="F35" s="340">
        <v>0</v>
      </c>
      <c r="G35" s="340">
        <v>0</v>
      </c>
      <c r="H35" s="340">
        <v>0</v>
      </c>
      <c r="I35" s="340">
        <v>0</v>
      </c>
      <c r="J35" s="340">
        <f>SUM('F) Remuneraciones'!J29:J43)*0.5</f>
        <v>799860</v>
      </c>
      <c r="K35" s="340">
        <v>0</v>
      </c>
      <c r="L35" s="340">
        <v>0</v>
      </c>
      <c r="M35" s="340">
        <f>+B35+J35</f>
        <v>2152470</v>
      </c>
      <c r="N35" s="341">
        <f>SUM(B35:M35)</f>
        <v>4304940</v>
      </c>
    </row>
    <row r="36" spans="1:14" ht="15">
      <c r="A36" s="339" t="s">
        <v>256</v>
      </c>
      <c r="B36" s="340">
        <f>+('C) Costos Directos'!$H$206-'C) Costos Directos'!$D$144)/12</f>
        <v>3070048.752112838</v>
      </c>
      <c r="C36" s="340">
        <f>+('C) Costos Directos'!$H$206-'C) Costos Directos'!$D$144)/12</f>
        <v>3070048.752112838</v>
      </c>
      <c r="D36" s="340">
        <f>+('C) Costos Directos'!$H$206-'C) Costos Directos'!$D$144)/12</f>
        <v>3070048.752112838</v>
      </c>
      <c r="E36" s="340">
        <f>+('C) Costos Directos'!$H$206-'C) Costos Directos'!$D$144)/12</f>
        <v>3070048.752112838</v>
      </c>
      <c r="F36" s="340">
        <f>+('C) Costos Directos'!$H$206-'C) Costos Directos'!$D$144)/12</f>
        <v>3070048.752112838</v>
      </c>
      <c r="G36" s="340">
        <f>+('C) Costos Directos'!$H$206-'C) Costos Directos'!$D$144)/12</f>
        <v>3070048.752112838</v>
      </c>
      <c r="H36" s="340">
        <f>+('C) Costos Directos'!$H$206-'C) Costos Directos'!$D$144)/12</f>
        <v>3070048.752112838</v>
      </c>
      <c r="I36" s="340">
        <f>+('C) Costos Directos'!$H$206-'C) Costos Directos'!$D$144)/12</f>
        <v>3070048.752112838</v>
      </c>
      <c r="J36" s="340">
        <f>+('C) Costos Directos'!$H$206-'C) Costos Directos'!$D$144)/12</f>
        <v>3070048.752112838</v>
      </c>
      <c r="K36" s="340">
        <f>+('C) Costos Directos'!$H$206-'C) Costos Directos'!$D$144)/12</f>
        <v>3070048.752112838</v>
      </c>
      <c r="L36" s="340">
        <f>+('C) Costos Directos'!$H$206-'C) Costos Directos'!$D$144)/12</f>
        <v>3070048.752112838</v>
      </c>
      <c r="M36" s="340">
        <f>+('C) Costos Directos'!$H$206-'C) Costos Directos'!$D$144)/12</f>
        <v>3070048.752112838</v>
      </c>
      <c r="N36" s="341">
        <f>SUM(B36:M36)</f>
        <v>36840585.02535406</v>
      </c>
    </row>
    <row r="37" spans="1:14" ht="15">
      <c r="A37" s="342" t="s">
        <v>263</v>
      </c>
      <c r="B37" s="343">
        <f aca="true" t="shared" si="2" ref="B37:M37">+B33-B34-B35-B36</f>
        <v>3399016.047887162</v>
      </c>
      <c r="C37" s="343">
        <f t="shared" si="2"/>
        <v>4751626.047887161</v>
      </c>
      <c r="D37" s="343">
        <f t="shared" si="2"/>
        <v>4751626.047887161</v>
      </c>
      <c r="E37" s="343">
        <f t="shared" si="2"/>
        <v>4751626.047887161</v>
      </c>
      <c r="F37" s="343">
        <f t="shared" si="2"/>
        <v>4751626.047887161</v>
      </c>
      <c r="G37" s="343">
        <f t="shared" si="2"/>
        <v>4751626.047887161</v>
      </c>
      <c r="H37" s="343">
        <f t="shared" si="2"/>
        <v>4751626.047887161</v>
      </c>
      <c r="I37" s="343">
        <f t="shared" si="2"/>
        <v>4751626.047887161</v>
      </c>
      <c r="J37" s="343">
        <f t="shared" si="2"/>
        <v>3951766.047887162</v>
      </c>
      <c r="K37" s="343">
        <f t="shared" si="2"/>
        <v>4751626.047887161</v>
      </c>
      <c r="L37" s="343">
        <f t="shared" si="2"/>
        <v>4751626.047887161</v>
      </c>
      <c r="M37" s="343">
        <f t="shared" si="2"/>
        <v>2599156.047887162</v>
      </c>
      <c r="N37" s="343">
        <f>+N33-N34-N35-N36</f>
        <v>52714572.57464592</v>
      </c>
    </row>
    <row r="40" spans="1:13" ht="15">
      <c r="A40" s="333" t="s">
        <v>266</v>
      </c>
      <c r="B40" s="334" t="s">
        <v>242</v>
      </c>
      <c r="C40" s="334" t="s">
        <v>243</v>
      </c>
      <c r="D40" s="334" t="s">
        <v>244</v>
      </c>
      <c r="E40" s="334" t="s">
        <v>245</v>
      </c>
      <c r="F40" s="334" t="s">
        <v>246</v>
      </c>
      <c r="G40" s="334" t="s">
        <v>247</v>
      </c>
      <c r="H40" s="334" t="s">
        <v>248</v>
      </c>
      <c r="I40" s="334" t="s">
        <v>249</v>
      </c>
      <c r="J40" s="334" t="s">
        <v>250</v>
      </c>
      <c r="K40" s="334" t="s">
        <v>251</v>
      </c>
      <c r="L40" s="334" t="s">
        <v>252</v>
      </c>
      <c r="M40" s="334" t="s">
        <v>253</v>
      </c>
    </row>
    <row r="41" spans="1:13" ht="15">
      <c r="A41" s="335" t="s">
        <v>260</v>
      </c>
      <c r="B41" s="336">
        <f>+'B) Reajuste Tarifas y Ocupación'!$H$35</f>
        <v>29</v>
      </c>
      <c r="C41" s="336">
        <f>+'B) Reajuste Tarifas y Ocupación'!$H$35</f>
        <v>29</v>
      </c>
      <c r="D41" s="336">
        <f>+'B) Reajuste Tarifas y Ocupación'!$H$35</f>
        <v>29</v>
      </c>
      <c r="E41" s="336">
        <f>+'B) Reajuste Tarifas y Ocupación'!$H$35</f>
        <v>29</v>
      </c>
      <c r="F41" s="336">
        <f>+'B) Reajuste Tarifas y Ocupación'!$H$35</f>
        <v>29</v>
      </c>
      <c r="G41" s="336">
        <f>+'B) Reajuste Tarifas y Ocupación'!$H$35</f>
        <v>29</v>
      </c>
      <c r="H41" s="336">
        <f>+'B) Reajuste Tarifas y Ocupación'!$H$35</f>
        <v>29</v>
      </c>
      <c r="I41" s="336">
        <f>+'B) Reajuste Tarifas y Ocupación'!$H$35</f>
        <v>29</v>
      </c>
      <c r="J41" s="336">
        <f>+'B) Reajuste Tarifas y Ocupación'!$H$35</f>
        <v>29</v>
      </c>
      <c r="K41" s="336">
        <f>+'B) Reajuste Tarifas y Ocupación'!$H$35</f>
        <v>29</v>
      </c>
      <c r="L41" s="336">
        <f>+'B) Reajuste Tarifas y Ocupación'!$H$35</f>
        <v>29</v>
      </c>
      <c r="M41" s="336">
        <f>+'B) Reajuste Tarifas y Ocupación'!$H$35</f>
        <v>29</v>
      </c>
    </row>
    <row r="42" spans="1:13" ht="15">
      <c r="A42" s="335" t="s">
        <v>261</v>
      </c>
      <c r="B42" s="336">
        <f>+COUNTA('F) Remuneraciones'!$C$44:$C$58)</f>
        <v>6</v>
      </c>
      <c r="C42" s="336">
        <f>+COUNTA('F) Remuneraciones'!$C$44:$C$58)</f>
        <v>6</v>
      </c>
      <c r="D42" s="336">
        <f>+COUNTA('F) Remuneraciones'!$C$44:$C$58)</f>
        <v>6</v>
      </c>
      <c r="E42" s="336">
        <f>+COUNTA('F) Remuneraciones'!$C$44:$C$58)</f>
        <v>6</v>
      </c>
      <c r="F42" s="336">
        <f>+COUNTA('F) Remuneraciones'!$C$44:$C$58)</f>
        <v>6</v>
      </c>
      <c r="G42" s="336">
        <f>+COUNTA('F) Remuneraciones'!$C$44:$C$58)</f>
        <v>6</v>
      </c>
      <c r="H42" s="336">
        <f>+COUNTA('F) Remuneraciones'!$C$44:$C$58)</f>
        <v>6</v>
      </c>
      <c r="I42" s="336">
        <f>+COUNTA('F) Remuneraciones'!$C$44:$C$58)</f>
        <v>6</v>
      </c>
      <c r="J42" s="336">
        <f>+COUNTA('F) Remuneraciones'!$C$44:$C$58)</f>
        <v>6</v>
      </c>
      <c r="K42" s="336">
        <f>+COUNTA('F) Remuneraciones'!$C$44:$C$58)</f>
        <v>6</v>
      </c>
      <c r="L42" s="336">
        <f>+COUNTA('F) Remuneraciones'!$C$44:$C$58)</f>
        <v>6</v>
      </c>
      <c r="M42" s="336">
        <f>+COUNTA('F) Remuneraciones'!$C$44:$C$58)</f>
        <v>6</v>
      </c>
    </row>
    <row r="43" spans="1:16" ht="15">
      <c r="A43" s="335"/>
      <c r="B43" s="337"/>
      <c r="C43" s="337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P43" s="340"/>
    </row>
    <row r="44" spans="1:14" ht="30">
      <c r="A44" s="338" t="s">
        <v>268</v>
      </c>
      <c r="B44" s="334" t="s">
        <v>242</v>
      </c>
      <c r="C44" s="334" t="s">
        <v>243</v>
      </c>
      <c r="D44" s="334" t="s">
        <v>244</v>
      </c>
      <c r="E44" s="334" t="s">
        <v>245</v>
      </c>
      <c r="F44" s="334" t="s">
        <v>246</v>
      </c>
      <c r="G44" s="334" t="s">
        <v>247</v>
      </c>
      <c r="H44" s="334" t="s">
        <v>248</v>
      </c>
      <c r="I44" s="334" t="s">
        <v>249</v>
      </c>
      <c r="J44" s="334" t="s">
        <v>250</v>
      </c>
      <c r="K44" s="334" t="s">
        <v>251</v>
      </c>
      <c r="L44" s="334" t="s">
        <v>252</v>
      </c>
      <c r="M44" s="334" t="s">
        <v>253</v>
      </c>
      <c r="N44" s="334" t="s">
        <v>262</v>
      </c>
    </row>
    <row r="45" spans="1:14" ht="15">
      <c r="A45" s="339" t="s">
        <v>254</v>
      </c>
      <c r="B45" s="340">
        <f>+'A) Resumen Ingresos y Egresos'!$O$41/12</f>
        <v>7664700</v>
      </c>
      <c r="C45" s="340">
        <f>+'A) Resumen Ingresos y Egresos'!$O$41/12</f>
        <v>7664700</v>
      </c>
      <c r="D45" s="340">
        <f>+'A) Resumen Ingresos y Egresos'!$O$41/12</f>
        <v>7664700</v>
      </c>
      <c r="E45" s="340">
        <f>+'A) Resumen Ingresos y Egresos'!$O$41/12</f>
        <v>7664700</v>
      </c>
      <c r="F45" s="340">
        <f>+'A) Resumen Ingresos y Egresos'!$O$41/12</f>
        <v>7664700</v>
      </c>
      <c r="G45" s="340">
        <f>+'A) Resumen Ingresos y Egresos'!$O$41/12</f>
        <v>7664700</v>
      </c>
      <c r="H45" s="340">
        <f>+'A) Resumen Ingresos y Egresos'!$O$41/12</f>
        <v>7664700</v>
      </c>
      <c r="I45" s="340">
        <f>+'A) Resumen Ingresos y Egresos'!$O$41/12</f>
        <v>7664700</v>
      </c>
      <c r="J45" s="340">
        <f>+'A) Resumen Ingresos y Egresos'!$O$41/12</f>
        <v>7664700</v>
      </c>
      <c r="K45" s="340">
        <f>+'A) Resumen Ingresos y Egresos'!$O$41/12</f>
        <v>7664700</v>
      </c>
      <c r="L45" s="340">
        <f>+'A) Resumen Ingresos y Egresos'!$O$41/12</f>
        <v>7664700</v>
      </c>
      <c r="M45" s="340">
        <f>+'A) Resumen Ingresos y Egresos'!$O$41/12</f>
        <v>7664700</v>
      </c>
      <c r="N45" s="341">
        <f>SUM(B45:M45)</f>
        <v>91976400</v>
      </c>
    </row>
    <row r="46" spans="1:14" ht="15">
      <c r="A46" s="339" t="s">
        <v>255</v>
      </c>
      <c r="B46" s="340">
        <f>SUM('F) Remuneraciones'!$H$44:$H$58)/12</f>
        <v>2938369.1520000002</v>
      </c>
      <c r="C46" s="340">
        <f>SUM('F) Remuneraciones'!$H$44:$H$58)/12</f>
        <v>2938369.1520000002</v>
      </c>
      <c r="D46" s="340">
        <f>SUM('F) Remuneraciones'!$H$44:$H$58)/12</f>
        <v>2938369.1520000002</v>
      </c>
      <c r="E46" s="340">
        <f>SUM('F) Remuneraciones'!$H$44:$H$58)/12</f>
        <v>2938369.1520000002</v>
      </c>
      <c r="F46" s="340">
        <f>SUM('F) Remuneraciones'!$H$44:$H$58)/12</f>
        <v>2938369.1520000002</v>
      </c>
      <c r="G46" s="340">
        <f>SUM('F) Remuneraciones'!$H$44:$H$58)/12</f>
        <v>2938369.1520000002</v>
      </c>
      <c r="H46" s="340">
        <f>SUM('F) Remuneraciones'!$H$44:$H$58)/12</f>
        <v>2938369.1520000002</v>
      </c>
      <c r="I46" s="340">
        <f>SUM('F) Remuneraciones'!$H$44:$H$58)/12</f>
        <v>2938369.1520000002</v>
      </c>
      <c r="J46" s="340">
        <f>SUM('F) Remuneraciones'!$H$44:$H$58)/12</f>
        <v>2938369.1520000002</v>
      </c>
      <c r="K46" s="340">
        <f>SUM('F) Remuneraciones'!$H$44:$H$58)/12</f>
        <v>2938369.1520000002</v>
      </c>
      <c r="L46" s="340">
        <f>SUM('F) Remuneraciones'!$H$44:$H$58)/12</f>
        <v>2938369.1520000002</v>
      </c>
      <c r="M46" s="340">
        <f>SUM('F) Remuneraciones'!$H$44:$H$58)/12</f>
        <v>2938369.1520000002</v>
      </c>
      <c r="N46" s="341">
        <f>SUM(B46:M46)</f>
        <v>35260429.82399999</v>
      </c>
    </row>
    <row r="47" spans="1:14" ht="15">
      <c r="A47" s="339" t="s">
        <v>257</v>
      </c>
      <c r="B47" s="340">
        <f>SUM('F) Remuneraciones'!I44:I58)*0.5</f>
        <v>811566</v>
      </c>
      <c r="C47" s="340">
        <v>0</v>
      </c>
      <c r="D47" s="340">
        <v>0</v>
      </c>
      <c r="E47" s="340">
        <v>0</v>
      </c>
      <c r="F47" s="340">
        <v>0</v>
      </c>
      <c r="G47" s="340">
        <v>0</v>
      </c>
      <c r="H47" s="340">
        <v>0</v>
      </c>
      <c r="I47" s="340">
        <v>0</v>
      </c>
      <c r="J47" s="340">
        <f>SUM('F) Remuneraciones'!J44:J58)*0.5</f>
        <v>399930</v>
      </c>
      <c r="K47" s="340">
        <v>0</v>
      </c>
      <c r="L47" s="340">
        <v>0</v>
      </c>
      <c r="M47" s="340">
        <f>+B47+J47</f>
        <v>1211496</v>
      </c>
      <c r="N47" s="341">
        <f>SUM(B47:M47)</f>
        <v>2422992</v>
      </c>
    </row>
    <row r="48" spans="1:14" ht="15">
      <c r="A48" s="339" t="s">
        <v>256</v>
      </c>
      <c r="B48" s="340">
        <f>+('C) Costos Directos'!$H$272-'C) Costos Directos'!$D$211)/12</f>
        <v>671523.9119853905</v>
      </c>
      <c r="C48" s="340">
        <f>+('C) Costos Directos'!$H$272-'C) Costos Directos'!$D$211)/12</f>
        <v>671523.9119853905</v>
      </c>
      <c r="D48" s="340">
        <f>+('C) Costos Directos'!$H$272-'C) Costos Directos'!$D$211)/12</f>
        <v>671523.9119853905</v>
      </c>
      <c r="E48" s="340">
        <f>+('C) Costos Directos'!$H$272-'C) Costos Directos'!$D$211)/12</f>
        <v>671523.9119853905</v>
      </c>
      <c r="F48" s="340">
        <f>+('C) Costos Directos'!$H$272-'C) Costos Directos'!$D$211)/12</f>
        <v>671523.9119853905</v>
      </c>
      <c r="G48" s="340">
        <f>+('C) Costos Directos'!$H$272-'C) Costos Directos'!$D$211)/12</f>
        <v>671523.9119853905</v>
      </c>
      <c r="H48" s="340">
        <f>+('C) Costos Directos'!$H$272-'C) Costos Directos'!$D$211)/12</f>
        <v>671523.9119853905</v>
      </c>
      <c r="I48" s="340">
        <f>+('C) Costos Directos'!$H$272-'C) Costos Directos'!$D$211)/12</f>
        <v>671523.9119853905</v>
      </c>
      <c r="J48" s="340">
        <f>+('C) Costos Directos'!$H$272-'C) Costos Directos'!$D$211)/12</f>
        <v>671523.9119853905</v>
      </c>
      <c r="K48" s="340">
        <f>+('C) Costos Directos'!$H$272-'C) Costos Directos'!$D$211)/12</f>
        <v>671523.9119853905</v>
      </c>
      <c r="L48" s="340">
        <f>+('C) Costos Directos'!$H$272-'C) Costos Directos'!$D$211)/12</f>
        <v>671523.9119853905</v>
      </c>
      <c r="M48" s="340">
        <f>+('C) Costos Directos'!$H$272-'C) Costos Directos'!$D$211)/12</f>
        <v>671523.9119853905</v>
      </c>
      <c r="N48" s="341">
        <f>SUM(B48:M48)</f>
        <v>8058286.943824687</v>
      </c>
    </row>
    <row r="49" spans="1:14" ht="15">
      <c r="A49" s="342" t="s">
        <v>263</v>
      </c>
      <c r="B49" s="343">
        <f aca="true" t="shared" si="3" ref="B49:M49">+B45-B46-B47-B48</f>
        <v>3243240.936014609</v>
      </c>
      <c r="C49" s="343">
        <f t="shared" si="3"/>
        <v>4054806.936014609</v>
      </c>
      <c r="D49" s="343">
        <f t="shared" si="3"/>
        <v>4054806.936014609</v>
      </c>
      <c r="E49" s="343">
        <f t="shared" si="3"/>
        <v>4054806.936014609</v>
      </c>
      <c r="F49" s="343">
        <f t="shared" si="3"/>
        <v>4054806.936014609</v>
      </c>
      <c r="G49" s="343">
        <f t="shared" si="3"/>
        <v>4054806.936014609</v>
      </c>
      <c r="H49" s="343">
        <f t="shared" si="3"/>
        <v>4054806.936014609</v>
      </c>
      <c r="I49" s="343">
        <f t="shared" si="3"/>
        <v>4054806.936014609</v>
      </c>
      <c r="J49" s="343">
        <f t="shared" si="3"/>
        <v>3654876.936014609</v>
      </c>
      <c r="K49" s="343">
        <f t="shared" si="3"/>
        <v>4054806.936014609</v>
      </c>
      <c r="L49" s="343">
        <f t="shared" si="3"/>
        <v>4054806.936014609</v>
      </c>
      <c r="M49" s="343">
        <f t="shared" si="3"/>
        <v>2843310.936014609</v>
      </c>
      <c r="N49" s="343">
        <f>+N45-N46-N47-N48</f>
        <v>46234691.23217532</v>
      </c>
    </row>
    <row r="53" ht="15">
      <c r="N53" s="340"/>
    </row>
    <row r="57" ht="15">
      <c r="P57" s="332" t="s">
        <v>541</v>
      </c>
    </row>
  </sheetData>
  <sheetProtection password="8D26" sheet="1" selectLockedCells="1" selectUnlockedCells="1"/>
  <mergeCells count="1">
    <mergeCell ref="A2:D2"/>
  </mergeCells>
  <printOptions/>
  <pageMargins left="0.7" right="0.7" top="0.75" bottom="0.75" header="0.3" footer="0.3"/>
  <pageSetup fitToHeight="1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00FF"/>
  </sheetPr>
  <dimension ref="B1:S56"/>
  <sheetViews>
    <sheetView showGridLines="0" zoomScale="80" zoomScaleNormal="80" zoomScalePageLayoutView="0" workbookViewId="0" topLeftCell="A1">
      <selection activeCell="B56" sqref="B56:D56"/>
    </sheetView>
  </sheetViews>
  <sheetFormatPr defaultColWidth="11.421875" defaultRowHeight="12.75"/>
  <cols>
    <col min="1" max="16384" width="11.421875" style="1" customWidth="1"/>
  </cols>
  <sheetData>
    <row r="1" ht="12.75">
      <c r="H1" s="44"/>
    </row>
    <row r="2" ht="12.75">
      <c r="H2" s="44" t="s">
        <v>84</v>
      </c>
    </row>
    <row r="5" spans="2:6" ht="12.75">
      <c r="B5" s="862" t="s">
        <v>163</v>
      </c>
      <c r="C5" s="862"/>
      <c r="D5" s="862"/>
      <c r="E5" s="862"/>
      <c r="F5" s="862"/>
    </row>
    <row r="7" spans="3:11" ht="12.75">
      <c r="C7" s="190" t="s">
        <v>148</v>
      </c>
      <c r="D7" s="190"/>
      <c r="E7" s="190"/>
      <c r="F7" s="190"/>
      <c r="G7" s="190"/>
      <c r="H7" s="190"/>
      <c r="I7" s="190"/>
      <c r="J7" s="190"/>
      <c r="K7" s="190"/>
    </row>
    <row r="9" spans="3:11" ht="12.75">
      <c r="C9" s="190" t="s">
        <v>149</v>
      </c>
      <c r="D9" s="190"/>
      <c r="E9" s="190"/>
      <c r="F9" s="190"/>
      <c r="G9" s="190"/>
      <c r="H9" s="190"/>
      <c r="I9" s="189"/>
      <c r="J9" s="189"/>
      <c r="K9" s="189"/>
    </row>
    <row r="11" spans="2:6" ht="12.75">
      <c r="B11" s="860" t="s">
        <v>164</v>
      </c>
      <c r="C11" s="860"/>
      <c r="D11" s="860"/>
      <c r="E11" s="860"/>
      <c r="F11" s="860"/>
    </row>
    <row r="13" spans="3:8" ht="12.75">
      <c r="C13" s="191" t="s">
        <v>150</v>
      </c>
      <c r="D13" s="191"/>
      <c r="E13" s="191"/>
      <c r="F13" s="191"/>
      <c r="G13" s="191"/>
      <c r="H13" s="191"/>
    </row>
    <row r="15" spans="3:11" ht="12.75">
      <c r="C15" s="191" t="s">
        <v>151</v>
      </c>
      <c r="D15" s="191"/>
      <c r="E15" s="191"/>
      <c r="F15" s="191"/>
      <c r="G15" s="191"/>
      <c r="H15" s="191"/>
      <c r="I15" s="189"/>
      <c r="J15" s="189"/>
      <c r="K15" s="189"/>
    </row>
    <row r="19" spans="2:6" ht="12.75">
      <c r="B19" s="860" t="s">
        <v>165</v>
      </c>
      <c r="C19" s="860"/>
      <c r="D19" s="860"/>
      <c r="E19" s="860"/>
      <c r="F19" s="860"/>
    </row>
    <row r="21" spans="3:8" ht="12.75">
      <c r="C21" s="191" t="s">
        <v>153</v>
      </c>
      <c r="D21" s="191"/>
      <c r="E21" s="191"/>
      <c r="F21" s="192"/>
      <c r="G21" s="192"/>
      <c r="H21" s="192"/>
    </row>
    <row r="22" spans="3:11" ht="12.75">
      <c r="C22" s="861"/>
      <c r="D22" s="861"/>
      <c r="E22" s="861"/>
      <c r="F22" s="861"/>
      <c r="G22" s="861"/>
      <c r="H22" s="861"/>
      <c r="I22" s="861"/>
      <c r="J22" s="861"/>
      <c r="K22" s="861"/>
    </row>
    <row r="24" spans="2:6" ht="12.75">
      <c r="B24" s="860" t="s">
        <v>166</v>
      </c>
      <c r="C24" s="860"/>
      <c r="D24" s="860"/>
      <c r="E24" s="860"/>
      <c r="F24" s="860"/>
    </row>
    <row r="26" spans="3:10" ht="12.75">
      <c r="C26" s="193" t="s">
        <v>154</v>
      </c>
      <c r="D26" s="193"/>
      <c r="E26" s="193"/>
      <c r="F26" s="193"/>
      <c r="G26" s="193"/>
      <c r="H26" s="193"/>
      <c r="I26" s="193"/>
      <c r="J26" s="193"/>
    </row>
    <row r="27" spans="3:13" ht="12.75" customHeight="1">
      <c r="C27" s="863" t="s">
        <v>155</v>
      </c>
      <c r="D27" s="863"/>
      <c r="E27" s="863"/>
      <c r="F27" s="863"/>
      <c r="G27" s="863"/>
      <c r="H27" s="863"/>
      <c r="I27" s="863"/>
      <c r="J27" s="863"/>
      <c r="K27" s="863"/>
      <c r="L27" s="863"/>
      <c r="M27" s="863"/>
    </row>
    <row r="28" spans="3:13" ht="12.75" customHeight="1">
      <c r="C28" s="863"/>
      <c r="D28" s="863"/>
      <c r="E28" s="863"/>
      <c r="F28" s="863"/>
      <c r="G28" s="863"/>
      <c r="H28" s="863"/>
      <c r="I28" s="863"/>
      <c r="J28" s="863"/>
      <c r="K28" s="863"/>
      <c r="L28" s="863"/>
      <c r="M28" s="863"/>
    </row>
    <row r="29" spans="3:14" ht="12.75" customHeight="1">
      <c r="C29" s="193" t="s">
        <v>156</v>
      </c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2"/>
    </row>
    <row r="30" spans="3:14" ht="12.75" customHeight="1"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2"/>
    </row>
    <row r="31" spans="3:16" ht="12.75" customHeight="1">
      <c r="C31" s="197" t="s">
        <v>157</v>
      </c>
      <c r="D31" s="194"/>
      <c r="E31" s="194"/>
      <c r="F31" s="196"/>
      <c r="G31" s="194"/>
      <c r="H31" s="194"/>
      <c r="I31" s="194"/>
      <c r="J31" s="194"/>
      <c r="K31" s="194"/>
      <c r="L31" s="194"/>
      <c r="M31" s="194"/>
      <c r="N31" s="192"/>
      <c r="O31" s="192"/>
      <c r="P31" s="192"/>
    </row>
    <row r="32" spans="3:14" ht="12.75" customHeight="1">
      <c r="C32" s="195"/>
      <c r="D32" s="195"/>
      <c r="E32" s="195"/>
      <c r="F32" s="195"/>
      <c r="G32" s="195"/>
      <c r="H32" s="195"/>
      <c r="I32" s="194"/>
      <c r="J32" s="194"/>
      <c r="K32" s="194"/>
      <c r="L32" s="194"/>
      <c r="M32" s="194"/>
      <c r="N32" s="192"/>
    </row>
    <row r="33" spans="3:14" ht="12.75" customHeight="1">
      <c r="C33" s="864" t="s">
        <v>158</v>
      </c>
      <c r="D33" s="864"/>
      <c r="E33" s="864"/>
      <c r="F33" s="864"/>
      <c r="G33" s="864"/>
      <c r="H33" s="864"/>
      <c r="I33" s="864"/>
      <c r="J33" s="864"/>
      <c r="K33" s="864"/>
      <c r="L33" s="864"/>
      <c r="M33" s="864"/>
      <c r="N33" s="192"/>
    </row>
    <row r="34" spans="3:14" ht="12.75" customHeight="1">
      <c r="C34" s="154"/>
      <c r="D34" s="154"/>
      <c r="E34" s="154"/>
      <c r="F34" s="154"/>
      <c r="G34" s="154"/>
      <c r="H34" s="154"/>
      <c r="I34" s="193"/>
      <c r="J34" s="193"/>
      <c r="K34" s="193"/>
      <c r="L34" s="193"/>
      <c r="M34" s="193"/>
      <c r="N34" s="192"/>
    </row>
    <row r="35" spans="3:14" ht="12.75" customHeight="1">
      <c r="C35" s="194" t="s">
        <v>159</v>
      </c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2"/>
    </row>
    <row r="36" spans="3:14" ht="12.75" customHeight="1">
      <c r="C36" s="195"/>
      <c r="D36" s="195"/>
      <c r="E36" s="195"/>
      <c r="F36" s="195"/>
      <c r="G36" s="195"/>
      <c r="H36" s="195"/>
      <c r="I36" s="194"/>
      <c r="J36" s="194"/>
      <c r="K36" s="194"/>
      <c r="L36" s="194"/>
      <c r="M36" s="194"/>
      <c r="N36" s="192"/>
    </row>
    <row r="37" spans="3:13" ht="12.75" customHeight="1"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</row>
    <row r="38" spans="3:13" ht="12.75" customHeight="1"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</row>
    <row r="39" spans="2:13" ht="12.75" customHeight="1">
      <c r="B39" s="197" t="s">
        <v>167</v>
      </c>
      <c r="C39" s="193"/>
      <c r="D39" s="114"/>
      <c r="E39" s="114"/>
      <c r="F39" s="114"/>
      <c r="G39" s="114"/>
      <c r="H39" s="114"/>
      <c r="I39" s="114"/>
      <c r="J39" s="114"/>
      <c r="K39" s="114"/>
      <c r="L39" s="114"/>
      <c r="M39" s="114"/>
    </row>
    <row r="40" spans="15:19" ht="12.75">
      <c r="O40" s="861"/>
      <c r="P40" s="861"/>
      <c r="Q40" s="861"/>
      <c r="R40" s="861"/>
      <c r="S40" s="861"/>
    </row>
    <row r="41" spans="3:6" ht="12.75">
      <c r="C41" s="865" t="s">
        <v>160</v>
      </c>
      <c r="D41" s="865"/>
      <c r="E41" s="865"/>
      <c r="F41" s="865"/>
    </row>
    <row r="42" spans="3:10" ht="12.75">
      <c r="C42" s="861"/>
      <c r="D42" s="861"/>
      <c r="E42" s="861"/>
      <c r="F42" s="861"/>
      <c r="G42" s="861"/>
      <c r="H42" s="861"/>
      <c r="I42" s="861"/>
      <c r="J42" s="861"/>
    </row>
    <row r="44" spans="2:6" ht="12.75">
      <c r="B44" s="860" t="s">
        <v>168</v>
      </c>
      <c r="C44" s="860"/>
      <c r="D44" s="860"/>
      <c r="E44" s="860"/>
      <c r="F44" s="860"/>
    </row>
    <row r="46" spans="3:13" ht="12.75">
      <c r="C46" s="198" t="s">
        <v>161</v>
      </c>
      <c r="D46" s="198"/>
      <c r="E46" s="198"/>
      <c r="F46" s="198"/>
      <c r="G46" s="198"/>
      <c r="H46" s="198"/>
      <c r="I46" s="198"/>
      <c r="J46" s="198"/>
      <c r="K46" s="199"/>
      <c r="L46" s="199"/>
      <c r="M46" s="199"/>
    </row>
    <row r="50" spans="2:6" ht="12.75">
      <c r="B50" s="860" t="s">
        <v>169</v>
      </c>
      <c r="C50" s="860"/>
      <c r="D50" s="860"/>
      <c r="E50" s="860"/>
      <c r="F50" s="860"/>
    </row>
    <row r="52" spans="3:13" ht="12.75">
      <c r="C52" s="193" t="s">
        <v>162</v>
      </c>
      <c r="D52" s="193"/>
      <c r="E52" s="193"/>
      <c r="F52" s="193"/>
      <c r="G52" s="192"/>
      <c r="H52" s="192"/>
      <c r="I52" s="192"/>
      <c r="J52" s="192"/>
      <c r="K52" s="192"/>
      <c r="L52" s="192"/>
      <c r="M52" s="192"/>
    </row>
    <row r="54" spans="2:3" ht="12.75">
      <c r="B54" s="192" t="s">
        <v>170</v>
      </c>
      <c r="C54" s="192"/>
    </row>
    <row r="56" spans="2:4" ht="12.75">
      <c r="B56" s="859" t="s">
        <v>258</v>
      </c>
      <c r="C56" s="859"/>
      <c r="D56" s="859"/>
    </row>
  </sheetData>
  <sheetProtection sheet="1" objects="1" scenarios="1"/>
  <mergeCells count="13">
    <mergeCell ref="C27:M28"/>
    <mergeCell ref="C33:M33"/>
    <mergeCell ref="C41:F41"/>
    <mergeCell ref="B56:D56"/>
    <mergeCell ref="B11:F11"/>
    <mergeCell ref="O40:S40"/>
    <mergeCell ref="B19:F19"/>
    <mergeCell ref="B24:F24"/>
    <mergeCell ref="B5:F5"/>
    <mergeCell ref="C22:K22"/>
    <mergeCell ref="B50:F50"/>
    <mergeCell ref="C42:J42"/>
    <mergeCell ref="B44:F44"/>
  </mergeCells>
  <hyperlinks>
    <hyperlink ref="B5:F5" location="'A) Resumen Ingresos y Egresos'!Área_de_impresión" display="A) Resumen Ingresos y Egresos"/>
    <hyperlink ref="B11:F11" location="'B) Reajuste Tarifas y Ocupación'!A1" display="B) Reajuste Tarifas y Ocupación"/>
    <hyperlink ref="C7:F7" location="'A) Resumen Ingresos y Egresos'!A6" display="TABLA 1: RESUMEN DE INGRESOS Y EGRESOS DE CENTROS DE BENEFICIOS"/>
    <hyperlink ref="C9:F9" location="'A) Resumen Ingresos y Egresos'!A22" display="TABLA 2: DETALLE DE INGRESOS POR PRESTACIÓN Y SEGMENTO"/>
    <hyperlink ref="C13:F13" location="'B) Reajuste Tarifas y Ocupación'!A8" display="TABLA 3: REAJUSTE DE TARIFAS POR PRESTACIÓN Y SEGMENTO"/>
    <hyperlink ref="C15:H15" location="'B) Reajuste Tarifas y Ocupación'!A32" display="TABLA 4: METAS DE OCUPACIÓN POR PRESTACIÓN Y SEGMENTO"/>
    <hyperlink ref="B19:F19" location="'C) Costos Directos'!Área_de_impresión" display="C) Costos Directos"/>
    <hyperlink ref="C21:E21" location="'C) Costos Directos'!Área_de_impresión" display="TABLA 5: COSTOS DIRECTOS DE CENTROS DE BENEFICIOS"/>
    <hyperlink ref="C21:H21" location="'C) Costos Directos'!Área_de_impresión" display="TABLA 5: COSTOS DIRECTOS DE CENTROS DE BENEFICIOS"/>
    <hyperlink ref="C21" location="'C) Costos Directos'!A8" display="TABLA 5: COSTOS DIRECTOS DE CENTROS DE BENEFICIOS"/>
    <hyperlink ref="B24:F24" location="'D) Costos Indirectos'!A1" display="D) Costos Indirectos"/>
    <hyperlink ref="C26:J26" location="'D) Costos Indirectos'!A9" display="TABLA 6: REMUNERACIONES DEL PERSONAL LEY 18.712 ADMINISTRACION CENTRAL Y APOYO ADMINISTRATIVO ASISTENCIA EDUCACIONAL"/>
    <hyperlink ref="C27:M28" location="'D) Costos Indirectos'!M9" display="TABLA 7: DISTRIBUCION COSTOS REMUNERACIONES ADMINISTRACION CENTRAL Y APOYO ADMINISTRATIVO A. EDUCACIONAL"/>
    <hyperlink ref="C29:N29" location="'D) Costos Indirectos'!U9" display="TABLA 8: COSTOS DE OPERACION ADMINISTRACIÓN CENTRAL Y  APOYO ADMINISTRATIVO ASISTENCIA EDUCACIONAL"/>
    <hyperlink ref="C31:M31" location="'D) Costos Indirectos'!Z9" display="TABLA 9: RESUMEN DISTRIBUCION COSTOS REMUNERACIONES ADMINISTRACION CENTRAL Y APOYO ADMINISTRATIVO A. EDUCACIONAL"/>
    <hyperlink ref="C33:M33" location="'D) Costos Indirectos'!AG9" display="TABLA 10: RESUMEN DISTRIBUCION COSTOS OPERACIÓN ADMINISTRACION CENTRAL  Y APOYO ADMINISTRATIVO A. EDUCACIONAL"/>
    <hyperlink ref="C35:N35" location="'D) Costos Indirectos'!AN9" display="'D) Costos Indirectos'!AN9"/>
    <hyperlink ref="B39:C39" location="'E) Resumen Tarifado '!A1" display="E) Resumen Tarifado"/>
    <hyperlink ref="B44:F44" location="'F) Remuneraciones'!A1" display="F) Remuneraciones"/>
    <hyperlink ref="B50:F50" location="'G) Comparación Mercado'!A1" display="G) Comparación Mercado"/>
    <hyperlink ref="B54:C54" location="'H) Detalle Datos'!A1" display="H) Detalle Gastos"/>
    <hyperlink ref="C41:F41" location="'E) Resumen Tarifado '!A6" display="TABLA 12: RESUMEN DE TARIFADO"/>
    <hyperlink ref="C46:M46" location="'F) Remuneraciones'!B7" display="TABLA 13: REMUNERACIONES DEL PERSONAL LEY 18.712 DE CENTROS DE BENEFICIOS"/>
    <hyperlink ref="C52:M52" location="'G) Comparación Mercado'!A12" display="TABLA 14: COMPARACIÓN TARIFAS CON PRECIOS DE MERCADO"/>
    <hyperlink ref="B56:D56" location="'Proyección Mensual.'!A2" display="I) Proyección mensual"/>
  </hyperlinks>
  <printOptions/>
  <pageMargins left="0.7086614173228347" right="0.7086614173228347" top="0.7480314960629921" bottom="0.7480314960629921" header="0.31496062992125984" footer="0.31496062992125984"/>
  <pageSetup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IM46"/>
  <sheetViews>
    <sheetView showGridLines="0" tabSelected="1" zoomScale="80" zoomScaleNormal="80" zoomScalePageLayoutView="0" workbookViewId="0" topLeftCell="A1">
      <selection activeCell="E26" sqref="E26"/>
    </sheetView>
  </sheetViews>
  <sheetFormatPr defaultColWidth="11.421875" defaultRowHeight="12.75"/>
  <cols>
    <col min="1" max="1" width="37.140625" style="4" customWidth="1"/>
    <col min="2" max="2" width="21.421875" style="4" customWidth="1"/>
    <col min="3" max="3" width="20.8515625" style="4" bestFit="1" customWidth="1"/>
    <col min="4" max="4" width="19.28125" style="4" customWidth="1"/>
    <col min="5" max="6" width="18.8515625" style="4" customWidth="1"/>
    <col min="7" max="7" width="18.00390625" style="4" customWidth="1"/>
    <col min="8" max="8" width="21.28125" style="4" customWidth="1"/>
    <col min="9" max="9" width="18.140625" style="4" bestFit="1" customWidth="1"/>
    <col min="10" max="10" width="18.7109375" style="4" bestFit="1" customWidth="1"/>
    <col min="11" max="11" width="18.7109375" style="4" customWidth="1"/>
    <col min="12" max="12" width="16.421875" style="4" bestFit="1" customWidth="1"/>
    <col min="13" max="13" width="17.57421875" style="4" customWidth="1"/>
    <col min="14" max="14" width="17.28125" style="4" customWidth="1"/>
    <col min="15" max="15" width="16.8515625" style="4" customWidth="1"/>
    <col min="16" max="16" width="14.8515625" style="4" customWidth="1"/>
    <col min="17" max="17" width="16.421875" style="4" bestFit="1" customWidth="1"/>
    <col min="18" max="18" width="15.8515625" style="4" customWidth="1"/>
    <col min="19" max="16384" width="11.421875" style="4" customWidth="1"/>
  </cols>
  <sheetData>
    <row r="1" spans="1:247" s="6" customFormat="1" ht="12.75">
      <c r="A1" s="5"/>
      <c r="C1" s="7"/>
      <c r="D1" s="7"/>
      <c r="E1" s="44" t="s">
        <v>203</v>
      </c>
      <c r="F1" s="44"/>
      <c r="G1" s="7"/>
      <c r="H1" s="7"/>
      <c r="IL1" s="4"/>
      <c r="IM1" s="4"/>
    </row>
    <row r="2" spans="1:247" s="6" customFormat="1" ht="12.75">
      <c r="A2" s="8"/>
      <c r="C2" s="7"/>
      <c r="D2" s="7"/>
      <c r="E2" s="44" t="s">
        <v>196</v>
      </c>
      <c r="F2" s="44"/>
      <c r="G2" s="7"/>
      <c r="H2" s="7"/>
      <c r="L2" s="7"/>
      <c r="M2" s="7"/>
      <c r="IL2" s="4"/>
      <c r="IM2" s="4"/>
    </row>
    <row r="3" spans="1:247" s="6" customFormat="1" ht="12.75">
      <c r="A3" s="4"/>
      <c r="IL3" s="4"/>
      <c r="IM3" s="4"/>
    </row>
    <row r="4" spans="1:242" s="6" customFormat="1" ht="18.75" customHeight="1">
      <c r="A4" s="25"/>
      <c r="B4" s="26"/>
      <c r="C4" s="879" t="s">
        <v>0</v>
      </c>
      <c r="D4" s="879"/>
      <c r="E4" s="880" t="s">
        <v>144</v>
      </c>
      <c r="F4" s="881"/>
      <c r="G4" s="882"/>
      <c r="L4" s="3"/>
      <c r="IC4" s="4"/>
      <c r="ID4" s="4"/>
      <c r="IE4" s="4"/>
      <c r="IF4" s="4"/>
      <c r="IG4" s="4"/>
      <c r="IH4" s="4"/>
    </row>
    <row r="5" spans="1:242" s="6" customFormat="1" ht="12.75">
      <c r="A5" s="4"/>
      <c r="B5" s="4"/>
      <c r="C5" s="4"/>
      <c r="D5" s="4"/>
      <c r="E5" s="4"/>
      <c r="F5" s="4"/>
      <c r="G5" s="9"/>
      <c r="H5" s="98"/>
      <c r="I5" s="7"/>
      <c r="J5" s="7"/>
      <c r="K5" s="7"/>
      <c r="L5" s="3"/>
      <c r="IC5" s="4"/>
      <c r="ID5" s="4"/>
      <c r="IE5" s="4"/>
      <c r="IF5" s="4"/>
      <c r="IG5" s="4"/>
      <c r="IH5" s="4"/>
    </row>
    <row r="6" spans="1:242" s="6" customFormat="1" ht="15.75">
      <c r="A6" s="888" t="s">
        <v>148</v>
      </c>
      <c r="B6" s="888"/>
      <c r="C6" s="888"/>
      <c r="D6" s="888"/>
      <c r="E6" s="4"/>
      <c r="F6" s="4"/>
      <c r="G6" s="9"/>
      <c r="H6" s="98"/>
      <c r="I6" s="7"/>
      <c r="J6" s="7"/>
      <c r="K6" s="7"/>
      <c r="L6" s="3"/>
      <c r="IC6" s="4"/>
      <c r="ID6" s="4"/>
      <c r="IE6" s="4"/>
      <c r="IF6" s="4"/>
      <c r="IG6" s="4"/>
      <c r="IH6" s="4"/>
    </row>
    <row r="7" spans="2:13" ht="12.75">
      <c r="B7" s="55"/>
      <c r="C7" s="55"/>
      <c r="E7" s="54"/>
      <c r="F7" s="55"/>
      <c r="G7" s="55"/>
      <c r="H7" s="55"/>
      <c r="I7" s="55"/>
      <c r="M7" s="56"/>
    </row>
    <row r="8" spans="1:14" ht="39" customHeight="1">
      <c r="A8" s="11" t="s">
        <v>114</v>
      </c>
      <c r="B8" s="63" t="str">
        <f>+N20</f>
        <v>Ingreso por Matrícula</v>
      </c>
      <c r="C8" s="64" t="str">
        <f>+O20</f>
        <v>Ingreso por Mensualidad</v>
      </c>
      <c r="D8" s="64" t="s">
        <v>127</v>
      </c>
      <c r="E8" s="65" t="s">
        <v>82</v>
      </c>
      <c r="F8" s="47" t="s">
        <v>79</v>
      </c>
      <c r="G8" s="48" t="s">
        <v>80</v>
      </c>
      <c r="H8" s="49" t="s">
        <v>107</v>
      </c>
      <c r="I8" s="12" t="s">
        <v>113</v>
      </c>
      <c r="L8" s="67" t="s">
        <v>112</v>
      </c>
      <c r="N8" s="95"/>
    </row>
    <row r="9" spans="1:14" ht="12.75">
      <c r="A9" s="62" t="str">
        <f>+'B) Reajuste Tarifas y Ocupación'!A12</f>
        <v>Jardín Infantil Tortuguita Marina</v>
      </c>
      <c r="B9" s="76">
        <f>N28</f>
        <v>1844300</v>
      </c>
      <c r="C9" s="74">
        <f>+O28</f>
        <v>18443000</v>
      </c>
      <c r="D9" s="76">
        <f>+P28</f>
        <v>0</v>
      </c>
      <c r="E9" s="68">
        <f>+B9+D9+C9</f>
        <v>20287300</v>
      </c>
      <c r="F9" s="50">
        <f>'C) Costos Directos'!H75</f>
        <v>34530160.5455</v>
      </c>
      <c r="G9" s="51">
        <f>+'D) Costos Indirectos'!$AP$15*(F9/$F$13)</f>
        <v>4072995.4982578345</v>
      </c>
      <c r="H9" s="53">
        <f>+F9+G9</f>
        <v>38603156.04375784</v>
      </c>
      <c r="I9" s="75">
        <f>E9-H9</f>
        <v>-18315856.04375784</v>
      </c>
      <c r="L9" s="86">
        <f>+_xlfn.IFERROR(G9/$G$13,0)</f>
        <v>0.1415391386127063</v>
      </c>
      <c r="N9" s="96"/>
    </row>
    <row r="10" spans="1:14" ht="12.75">
      <c r="A10" s="62" t="str">
        <f>'B) Reajuste Tarifas y Ocupación'!A14</f>
        <v>Jardín Infantil Burbujitas de Mar</v>
      </c>
      <c r="B10" s="76">
        <f>+N35</f>
        <v>3314400</v>
      </c>
      <c r="C10" s="74">
        <f>+O35</f>
        <v>33144000</v>
      </c>
      <c r="D10" s="76">
        <f>+P35</f>
        <v>0</v>
      </c>
      <c r="E10" s="68">
        <f>+B10+D10+C10</f>
        <v>36458400</v>
      </c>
      <c r="F10" s="50">
        <f>'C) Costos Directos'!H139</f>
        <v>39446627.03694147</v>
      </c>
      <c r="G10" s="51">
        <f>+'D) Costos Indirectos'!$AP$15*(F10/$F$13)</f>
        <v>4652915.937972854</v>
      </c>
      <c r="H10" s="53">
        <f>+F10+G10</f>
        <v>44099542.97491432</v>
      </c>
      <c r="I10" s="75">
        <f>E10-H10</f>
        <v>-7641142.97491432</v>
      </c>
      <c r="L10" s="86">
        <f>+_xlfn.IFERROR(G10/$G$13,0)</f>
        <v>0.16169173626135946</v>
      </c>
      <c r="N10" s="96"/>
    </row>
    <row r="11" spans="1:15" ht="12.75">
      <c r="A11" s="62" t="s">
        <v>214</v>
      </c>
      <c r="B11" s="76">
        <f>+N38+N44</f>
        <v>0</v>
      </c>
      <c r="C11" s="76">
        <f>+O38+O44</f>
        <v>176958000</v>
      </c>
      <c r="D11" s="269"/>
      <c r="E11" s="68">
        <f>+B11+D11+C11</f>
        <v>176958000</v>
      </c>
      <c r="F11" s="52">
        <f>'C) Costos Directos'!H206</f>
        <v>124243427.42535406</v>
      </c>
      <c r="G11" s="51">
        <f>+'D) Costos Indirectos'!$AP$15*(F11/$F$13)</f>
        <v>14655098.980057854</v>
      </c>
      <c r="H11" s="53">
        <f>+F11+G11</f>
        <v>138898526.40541193</v>
      </c>
      <c r="I11" s="75">
        <f>E11-H11</f>
        <v>38059473.59458807</v>
      </c>
      <c r="L11" s="86">
        <f>+_xlfn.IFERROR(G11/$G$13,0)</f>
        <v>0.5092738469287724</v>
      </c>
      <c r="N11" s="87"/>
      <c r="O11" s="205"/>
    </row>
    <row r="12" spans="1:15" ht="12.75">
      <c r="A12" s="62" t="s">
        <v>215</v>
      </c>
      <c r="B12" s="93">
        <f>+N41</f>
        <v>0</v>
      </c>
      <c r="C12" s="93">
        <f>+O41</f>
        <v>91976400</v>
      </c>
      <c r="D12" s="270"/>
      <c r="E12" s="94">
        <f>+B12+D12+C12</f>
        <v>91976400</v>
      </c>
      <c r="F12" s="52">
        <f>'C) Costos Directos'!H272</f>
        <v>45741708.76782469</v>
      </c>
      <c r="G12" s="51">
        <f>+'D) Costos Indirectos'!$AP$15*(F12/$F$13)</f>
        <v>5395450.555420321</v>
      </c>
      <c r="H12" s="53">
        <f>+F12+G12</f>
        <v>51137159.32324501</v>
      </c>
      <c r="I12" s="75">
        <f>E12-H12</f>
        <v>40839240.67675499</v>
      </c>
      <c r="L12" s="86">
        <f>+_xlfn.IFERROR(G12/$G$13,0)</f>
        <v>0.18749527819716177</v>
      </c>
      <c r="N12" s="87"/>
      <c r="O12" s="205"/>
    </row>
    <row r="13" spans="1:242" s="6" customFormat="1" ht="15">
      <c r="A13" s="13" t="s">
        <v>1</v>
      </c>
      <c r="B13" s="78">
        <f aca="true" t="shared" si="0" ref="B13:H13">SUM(B9:B12)</f>
        <v>5158700</v>
      </c>
      <c r="C13" s="78">
        <f t="shared" si="0"/>
        <v>320521400</v>
      </c>
      <c r="D13" s="78">
        <f t="shared" si="0"/>
        <v>0</v>
      </c>
      <c r="E13" s="79">
        <f>SUM(E9:E12)</f>
        <v>325680100</v>
      </c>
      <c r="F13" s="78">
        <f t="shared" si="0"/>
        <v>243961923.77562022</v>
      </c>
      <c r="G13" s="78">
        <f t="shared" si="0"/>
        <v>28776460.971708864</v>
      </c>
      <c r="H13" s="78">
        <f t="shared" si="0"/>
        <v>272738384.7473291</v>
      </c>
      <c r="I13" s="78">
        <f>SUM(I9:I12)</f>
        <v>52941715.2526709</v>
      </c>
      <c r="L13" s="88">
        <f>SUM(L9:L12)</f>
        <v>1</v>
      </c>
      <c r="N13" s="56"/>
      <c r="O13" s="205"/>
      <c r="IB13" s="4"/>
      <c r="IC13" s="4"/>
      <c r="ID13" s="4"/>
      <c r="IE13" s="4"/>
      <c r="IF13" s="4"/>
      <c r="IG13" s="4"/>
      <c r="IH13" s="4"/>
    </row>
    <row r="14" spans="1:242" s="6" customFormat="1" ht="15.75" customHeight="1">
      <c r="A14" s="14"/>
      <c r="B14" s="14"/>
      <c r="C14" s="15"/>
      <c r="D14" s="15"/>
      <c r="E14" s="15"/>
      <c r="F14" s="15"/>
      <c r="G14" s="15"/>
      <c r="H14" s="727"/>
      <c r="I14" s="727"/>
      <c r="J14" s="15"/>
      <c r="K14" s="15"/>
      <c r="L14" s="15"/>
      <c r="M14" s="15"/>
      <c r="N14" s="15"/>
      <c r="IB14" s="4"/>
      <c r="IC14" s="4"/>
      <c r="ID14" s="4"/>
      <c r="IE14" s="4"/>
      <c r="IF14" s="4"/>
      <c r="IG14" s="4"/>
      <c r="IH14" s="4"/>
    </row>
    <row r="15" spans="1:242" s="6" customFormat="1" ht="15.75" customHeight="1">
      <c r="A15" s="14"/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06"/>
      <c r="IB15" s="4"/>
      <c r="IC15" s="4"/>
      <c r="ID15" s="4"/>
      <c r="IE15" s="4"/>
      <c r="IF15" s="4"/>
      <c r="IG15" s="4"/>
      <c r="IH15" s="4"/>
    </row>
    <row r="16" spans="1:242" s="6" customFormat="1" ht="15.75" customHeight="1">
      <c r="A16" s="14"/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IB16" s="4"/>
      <c r="IC16" s="4"/>
      <c r="ID16" s="4"/>
      <c r="IE16" s="4"/>
      <c r="IF16" s="4"/>
      <c r="IG16" s="4"/>
      <c r="IH16" s="4"/>
    </row>
    <row r="17" spans="1:242" s="6" customFormat="1" ht="15.75" customHeight="1">
      <c r="A17" s="14"/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IB17" s="4"/>
      <c r="IC17" s="4"/>
      <c r="ID17" s="4"/>
      <c r="IE17" s="4"/>
      <c r="IF17" s="4"/>
      <c r="IG17" s="4"/>
      <c r="IH17" s="4"/>
    </row>
    <row r="18" spans="1:242" s="6" customFormat="1" ht="15.75" customHeight="1">
      <c r="A18" s="888" t="s">
        <v>149</v>
      </c>
      <c r="B18" s="888"/>
      <c r="C18" s="888"/>
      <c r="D18" s="888"/>
      <c r="E18" s="15"/>
      <c r="F18" s="15"/>
      <c r="G18" s="15"/>
      <c r="H18" s="15"/>
      <c r="I18" s="15"/>
      <c r="J18" s="15"/>
      <c r="K18" s="15"/>
      <c r="L18" s="15"/>
      <c r="M18" s="15"/>
      <c r="N18" s="15"/>
      <c r="IB18" s="4"/>
      <c r="IC18" s="4"/>
      <c r="ID18" s="4"/>
      <c r="IE18" s="4"/>
      <c r="IF18" s="4"/>
      <c r="IG18" s="4"/>
      <c r="IH18" s="4"/>
    </row>
    <row r="19" spans="2:247" s="17" customFormat="1" ht="13.5" thickBot="1">
      <c r="B19" s="55"/>
      <c r="C19" s="55"/>
      <c r="D19" s="55"/>
      <c r="E19" s="55"/>
      <c r="F19" s="55"/>
      <c r="G19" s="55"/>
      <c r="H19" s="55"/>
      <c r="I19" s="16"/>
      <c r="J19" s="16"/>
      <c r="K19" s="16"/>
      <c r="L19" s="3"/>
      <c r="M19" s="3"/>
      <c r="O19" s="18"/>
      <c r="P19" s="18"/>
      <c r="IL19" s="10"/>
      <c r="IM19" s="10"/>
    </row>
    <row r="20" spans="1:17" s="19" customFormat="1" ht="15.75" customHeight="1" thickBot="1">
      <c r="A20" s="899" t="s">
        <v>114</v>
      </c>
      <c r="B20" s="901" t="s">
        <v>5</v>
      </c>
      <c r="C20" s="883" t="s">
        <v>2</v>
      </c>
      <c r="D20" s="885" t="s">
        <v>232</v>
      </c>
      <c r="E20" s="886"/>
      <c r="F20" s="886"/>
      <c r="G20" s="886"/>
      <c r="H20" s="887"/>
      <c r="I20" s="869" t="s">
        <v>233</v>
      </c>
      <c r="J20" s="870"/>
      <c r="K20" s="870"/>
      <c r="L20" s="870"/>
      <c r="M20" s="871"/>
      <c r="N20" s="891" t="s">
        <v>89</v>
      </c>
      <c r="O20" s="893" t="s">
        <v>90</v>
      </c>
      <c r="P20" s="897" t="s">
        <v>127</v>
      </c>
      <c r="Q20" s="895" t="s">
        <v>106</v>
      </c>
    </row>
    <row r="21" spans="1:17" s="19" customFormat="1" ht="58.5" customHeight="1" thickBot="1">
      <c r="A21" s="900"/>
      <c r="B21" s="902"/>
      <c r="C21" s="884"/>
      <c r="D21" s="468" t="s">
        <v>86</v>
      </c>
      <c r="E21" s="493" t="s">
        <v>137</v>
      </c>
      <c r="F21" s="493" t="s">
        <v>138</v>
      </c>
      <c r="G21" s="493" t="s">
        <v>87</v>
      </c>
      <c r="H21" s="469" t="s">
        <v>88</v>
      </c>
      <c r="I21" s="468" t="s">
        <v>86</v>
      </c>
      <c r="J21" s="493" t="s">
        <v>137</v>
      </c>
      <c r="K21" s="493" t="s">
        <v>138</v>
      </c>
      <c r="L21" s="493" t="s">
        <v>87</v>
      </c>
      <c r="M21" s="469" t="s">
        <v>88</v>
      </c>
      <c r="N21" s="892"/>
      <c r="O21" s="894"/>
      <c r="P21" s="898"/>
      <c r="Q21" s="896"/>
    </row>
    <row r="22" spans="1:17" ht="12.75" customHeight="1">
      <c r="A22" s="874" t="str">
        <f>+'B) Reajuste Tarifas y Ocupación'!A12</f>
        <v>Jardín Infantil Tortuguita Marina</v>
      </c>
      <c r="B22" s="877" t="str">
        <f>+'B) Reajuste Tarifas y Ocupación'!B12</f>
        <v>Media jornada</v>
      </c>
      <c r="C22" s="499" t="s">
        <v>234</v>
      </c>
      <c r="D22" s="494">
        <f aca="true" t="shared" si="1" ref="D22:F23">+I22</f>
        <v>61300</v>
      </c>
      <c r="E22" s="475">
        <f t="shared" si="1"/>
        <v>73500</v>
      </c>
      <c r="F22" s="475">
        <f t="shared" si="1"/>
        <v>73500</v>
      </c>
      <c r="G22" s="475">
        <f>+L22</f>
        <v>83700</v>
      </c>
      <c r="H22" s="495">
        <f>+M22</f>
        <v>106500</v>
      </c>
      <c r="I22" s="494">
        <f>+'B) Reajuste Tarifas y Ocupación'!M12</f>
        <v>61300</v>
      </c>
      <c r="J22" s="475">
        <f>+'B) Reajuste Tarifas y Ocupación'!N12</f>
        <v>73500</v>
      </c>
      <c r="K22" s="475">
        <f>+'B) Reajuste Tarifas y Ocupación'!O12</f>
        <v>73500</v>
      </c>
      <c r="L22" s="475">
        <f>+'B) Reajuste Tarifas y Ocupación'!P12</f>
        <v>83700</v>
      </c>
      <c r="M22" s="495">
        <f>+'B) Reajuste Tarifas y Ocupación'!Q12</f>
        <v>106500</v>
      </c>
      <c r="N22" s="488"/>
      <c r="O22" s="476"/>
      <c r="P22" s="509">
        <f>+'B) Reajuste Tarifas y Ocupación'!C12</f>
        <v>57900</v>
      </c>
      <c r="Q22" s="890"/>
    </row>
    <row r="23" spans="1:17" ht="12.75">
      <c r="A23" s="875"/>
      <c r="B23" s="878"/>
      <c r="C23" s="500" t="s">
        <v>7</v>
      </c>
      <c r="D23" s="496">
        <f t="shared" si="1"/>
        <v>11</v>
      </c>
      <c r="E23" s="472">
        <f t="shared" si="1"/>
        <v>0</v>
      </c>
      <c r="F23" s="472">
        <f t="shared" si="1"/>
        <v>0</v>
      </c>
      <c r="G23" s="472">
        <f>+L23</f>
        <v>0</v>
      </c>
      <c r="H23" s="323">
        <f>+M23</f>
        <v>0</v>
      </c>
      <c r="I23" s="496">
        <v>11</v>
      </c>
      <c r="J23" s="472">
        <f>+'B) Reajuste Tarifas y Ocupación'!D27</f>
        <v>0</v>
      </c>
      <c r="K23" s="472">
        <f>+'B) Reajuste Tarifas y Ocupación'!E27</f>
        <v>0</v>
      </c>
      <c r="L23" s="472">
        <f>+'B) Reajuste Tarifas y Ocupación'!F27</f>
        <v>0</v>
      </c>
      <c r="M23" s="323">
        <f>+'B) Reajuste Tarifas y Ocupación'!G27</f>
        <v>0</v>
      </c>
      <c r="N23" s="489"/>
      <c r="O23" s="471"/>
      <c r="P23" s="510">
        <v>0</v>
      </c>
      <c r="Q23" s="889"/>
    </row>
    <row r="24" spans="1:18" ht="12.75">
      <c r="A24" s="875"/>
      <c r="B24" s="878"/>
      <c r="C24" s="501" t="s">
        <v>9</v>
      </c>
      <c r="D24" s="497">
        <f>D23*D22</f>
        <v>674300</v>
      </c>
      <c r="E24" s="473">
        <f>E23*E22</f>
        <v>0</v>
      </c>
      <c r="F24" s="473">
        <f>F23*F22</f>
        <v>0</v>
      </c>
      <c r="G24" s="473">
        <f>G23*G22</f>
        <v>0</v>
      </c>
      <c r="H24" s="324">
        <f>H23*H22</f>
        <v>0</v>
      </c>
      <c r="I24" s="497">
        <f>I23*I22*10</f>
        <v>6743000</v>
      </c>
      <c r="J24" s="473">
        <f>J23*J22*10</f>
        <v>0</v>
      </c>
      <c r="K24" s="473">
        <f>K23*K22*10</f>
        <v>0</v>
      </c>
      <c r="L24" s="473">
        <f>L23*L22*10</f>
        <v>0</v>
      </c>
      <c r="M24" s="324">
        <f>M23*M22*10</f>
        <v>0</v>
      </c>
      <c r="N24" s="490">
        <f>SUM(D24:H24)</f>
        <v>674300</v>
      </c>
      <c r="O24" s="474">
        <f>SUM(I24:M24)</f>
        <v>6743000</v>
      </c>
      <c r="P24" s="484">
        <f>P23*P22</f>
        <v>0</v>
      </c>
      <c r="Q24" s="515">
        <f>N24+O24+P24</f>
        <v>7417300</v>
      </c>
      <c r="R24" s="767" t="s">
        <v>535</v>
      </c>
    </row>
    <row r="25" spans="1:17" ht="12.75">
      <c r="A25" s="875"/>
      <c r="B25" s="878" t="str">
        <f>+'B) Reajuste Tarifas y Ocupación'!B13</f>
        <v>Doble Jornada </v>
      </c>
      <c r="C25" s="502" t="s">
        <v>234</v>
      </c>
      <c r="D25" s="503">
        <f aca="true" t="shared" si="2" ref="D25:F26">+I25</f>
        <v>78000</v>
      </c>
      <c r="E25" s="470">
        <f t="shared" si="2"/>
        <v>93500</v>
      </c>
      <c r="F25" s="470">
        <f t="shared" si="2"/>
        <v>93500</v>
      </c>
      <c r="G25" s="470">
        <f>+L25</f>
        <v>117000</v>
      </c>
      <c r="H25" s="322">
        <f>+M25</f>
        <v>155900</v>
      </c>
      <c r="I25" s="313">
        <f>+'B) Reajuste Tarifas y Ocupación'!M13</f>
        <v>78000</v>
      </c>
      <c r="J25" s="422">
        <f>+'B) Reajuste Tarifas y Ocupación'!N13</f>
        <v>93500</v>
      </c>
      <c r="K25" s="422">
        <f>+'B) Reajuste Tarifas y Ocupación'!O13</f>
        <v>93500</v>
      </c>
      <c r="L25" s="422">
        <f>+'B) Reajuste Tarifas y Ocupación'!P13</f>
        <v>117000</v>
      </c>
      <c r="M25" s="327">
        <f>+'B) Reajuste Tarifas y Ocupación'!Q13</f>
        <v>155900</v>
      </c>
      <c r="N25" s="489"/>
      <c r="O25" s="471"/>
      <c r="P25" s="511">
        <f>+'B) Reajuste Tarifas y Ocupación'!C13</f>
        <v>73700</v>
      </c>
      <c r="Q25" s="889"/>
    </row>
    <row r="26" spans="1:17" ht="12.75">
      <c r="A26" s="875"/>
      <c r="B26" s="878"/>
      <c r="C26" s="500" t="s">
        <v>7</v>
      </c>
      <c r="D26" s="496">
        <f t="shared" si="2"/>
        <v>15</v>
      </c>
      <c r="E26" s="472">
        <f t="shared" si="2"/>
        <v>0</v>
      </c>
      <c r="F26" s="472">
        <f t="shared" si="2"/>
        <v>0</v>
      </c>
      <c r="G26" s="472">
        <f>+L26</f>
        <v>0</v>
      </c>
      <c r="H26" s="323">
        <f>+M26</f>
        <v>0</v>
      </c>
      <c r="I26" s="496">
        <v>15</v>
      </c>
      <c r="J26" s="472">
        <f>+'B) Reajuste Tarifas y Ocupación'!D28</f>
        <v>0</v>
      </c>
      <c r="K26" s="472">
        <f>+'B) Reajuste Tarifas y Ocupación'!E28</f>
        <v>0</v>
      </c>
      <c r="L26" s="472">
        <f>+'B) Reajuste Tarifas y Ocupación'!F28</f>
        <v>0</v>
      </c>
      <c r="M26" s="323">
        <f>+'B) Reajuste Tarifas y Ocupación'!G28</f>
        <v>0</v>
      </c>
      <c r="N26" s="489"/>
      <c r="O26" s="471"/>
      <c r="P26" s="510">
        <v>0</v>
      </c>
      <c r="Q26" s="889"/>
    </row>
    <row r="27" spans="1:17" ht="12.75">
      <c r="A27" s="875"/>
      <c r="B27" s="878"/>
      <c r="C27" s="501" t="s">
        <v>9</v>
      </c>
      <c r="D27" s="497">
        <f>D26*D25</f>
        <v>1170000</v>
      </c>
      <c r="E27" s="473">
        <f>E26*E25</f>
        <v>0</v>
      </c>
      <c r="F27" s="473">
        <f>F26*F25</f>
        <v>0</v>
      </c>
      <c r="G27" s="473">
        <f>G26*G25</f>
        <v>0</v>
      </c>
      <c r="H27" s="324">
        <f>H26*H25</f>
        <v>0</v>
      </c>
      <c r="I27" s="497">
        <f>I26*I25*10</f>
        <v>11700000</v>
      </c>
      <c r="J27" s="473">
        <f>J26*J25*10</f>
        <v>0</v>
      </c>
      <c r="K27" s="473">
        <f>K26*K25*10</f>
        <v>0</v>
      </c>
      <c r="L27" s="473">
        <f>L26*L25*10</f>
        <v>0</v>
      </c>
      <c r="M27" s="324">
        <f>M26*M25*10</f>
        <v>0</v>
      </c>
      <c r="N27" s="490">
        <f>SUM(D27:H27)</f>
        <v>1170000</v>
      </c>
      <c r="O27" s="474">
        <f>SUM(I27:M27)</f>
        <v>11700000</v>
      </c>
      <c r="P27" s="484">
        <f>P26*P25</f>
        <v>0</v>
      </c>
      <c r="Q27" s="515">
        <f>N27+O27+P27</f>
        <v>12870000</v>
      </c>
    </row>
    <row r="28" spans="1:17" s="10" customFormat="1" ht="15.75" thickBot="1">
      <c r="A28" s="876"/>
      <c r="B28" s="872" t="s">
        <v>10</v>
      </c>
      <c r="C28" s="873"/>
      <c r="D28" s="498">
        <f aca="true" t="shared" si="3" ref="D28:Q28">+D24+D27</f>
        <v>1844300</v>
      </c>
      <c r="E28" s="477">
        <f t="shared" si="3"/>
        <v>0</v>
      </c>
      <c r="F28" s="477">
        <f t="shared" si="3"/>
        <v>0</v>
      </c>
      <c r="G28" s="477">
        <f t="shared" si="3"/>
        <v>0</v>
      </c>
      <c r="H28" s="478">
        <f t="shared" si="3"/>
        <v>0</v>
      </c>
      <c r="I28" s="498">
        <f t="shared" si="3"/>
        <v>18443000</v>
      </c>
      <c r="J28" s="477">
        <f t="shared" si="3"/>
        <v>0</v>
      </c>
      <c r="K28" s="477">
        <f t="shared" si="3"/>
        <v>0</v>
      </c>
      <c r="L28" s="477">
        <f t="shared" si="3"/>
        <v>0</v>
      </c>
      <c r="M28" s="478">
        <f t="shared" si="3"/>
        <v>0</v>
      </c>
      <c r="N28" s="491">
        <f t="shared" si="3"/>
        <v>1844300</v>
      </c>
      <c r="O28" s="477">
        <f t="shared" si="3"/>
        <v>18443000</v>
      </c>
      <c r="P28" s="485">
        <f t="shared" si="3"/>
        <v>0</v>
      </c>
      <c r="Q28" s="516">
        <f t="shared" si="3"/>
        <v>20287300</v>
      </c>
    </row>
    <row r="29" spans="1:17" s="10" customFormat="1" ht="12.75">
      <c r="A29" s="903" t="str">
        <f>'B) Reajuste Tarifas y Ocupación'!A29:A30</f>
        <v>Jardín Infantil Burbujitas de Mar</v>
      </c>
      <c r="B29" s="877" t="str">
        <f>+'B) Reajuste Tarifas y Ocupación'!B21</f>
        <v>Media Jornada</v>
      </c>
      <c r="C29" s="499" t="s">
        <v>234</v>
      </c>
      <c r="D29" s="494">
        <f>'B) Reajuste Tarifas y Ocupación'!M14</f>
        <v>86300</v>
      </c>
      <c r="E29" s="475">
        <f>'B) Reajuste Tarifas y Ocupación'!N14</f>
        <v>103600</v>
      </c>
      <c r="F29" s="475">
        <f>'B) Reajuste Tarifas y Ocupación'!O14</f>
        <v>103600</v>
      </c>
      <c r="G29" s="475">
        <f>'B) Reajuste Tarifas y Ocupación'!P14</f>
        <v>107900</v>
      </c>
      <c r="H29" s="495">
        <f>'B) Reajuste Tarifas y Ocupación'!Q14</f>
        <v>129400</v>
      </c>
      <c r="I29" s="494">
        <f>D29</f>
        <v>86300</v>
      </c>
      <c r="J29" s="475">
        <f>E29</f>
        <v>103600</v>
      </c>
      <c r="K29" s="475">
        <f>F29</f>
        <v>103600</v>
      </c>
      <c r="L29" s="475">
        <f>G29</f>
        <v>107900</v>
      </c>
      <c r="M29" s="495">
        <f>H29</f>
        <v>129400</v>
      </c>
      <c r="N29" s="488"/>
      <c r="O29" s="476"/>
      <c r="P29" s="509">
        <f>+'B) Reajuste Tarifas y Ocupación'!C14</f>
        <v>81600</v>
      </c>
      <c r="Q29" s="890"/>
    </row>
    <row r="30" spans="1:17" s="10" customFormat="1" ht="12.75">
      <c r="A30" s="904"/>
      <c r="B30" s="878"/>
      <c r="C30" s="500" t="s">
        <v>7</v>
      </c>
      <c r="D30" s="496">
        <f>+I30</f>
        <v>2</v>
      </c>
      <c r="E30" s="472">
        <f>+J30</f>
        <v>0</v>
      </c>
      <c r="F30" s="472">
        <f>+K30</f>
        <v>0</v>
      </c>
      <c r="G30" s="472">
        <f>+L30</f>
        <v>0</v>
      </c>
      <c r="H30" s="323">
        <f>+M30</f>
        <v>0</v>
      </c>
      <c r="I30" s="496">
        <v>2</v>
      </c>
      <c r="J30" s="472">
        <f>+'B) Reajuste Tarifas y Ocupación'!D29</f>
        <v>0</v>
      </c>
      <c r="K30" s="472">
        <f>+'B) Reajuste Tarifas y Ocupación'!E29</f>
        <v>0</v>
      </c>
      <c r="L30" s="472">
        <f>+'B) Reajuste Tarifas y Ocupación'!F29</f>
        <v>0</v>
      </c>
      <c r="M30" s="323">
        <f>+'B) Reajuste Tarifas y Ocupación'!G29</f>
        <v>0</v>
      </c>
      <c r="N30" s="489"/>
      <c r="O30" s="471"/>
      <c r="P30" s="510">
        <v>0</v>
      </c>
      <c r="Q30" s="889"/>
    </row>
    <row r="31" spans="1:17" s="10" customFormat="1" ht="12.75">
      <c r="A31" s="904"/>
      <c r="B31" s="878"/>
      <c r="C31" s="501" t="s">
        <v>9</v>
      </c>
      <c r="D31" s="497">
        <f>D30*D29</f>
        <v>172600</v>
      </c>
      <c r="E31" s="473">
        <f>E30*E29</f>
        <v>0</v>
      </c>
      <c r="F31" s="473">
        <f>F30*F29</f>
        <v>0</v>
      </c>
      <c r="G31" s="473">
        <f>G30*G29</f>
        <v>0</v>
      </c>
      <c r="H31" s="324">
        <f>H30*H29</f>
        <v>0</v>
      </c>
      <c r="I31" s="497">
        <f>I30*I29*10</f>
        <v>1726000</v>
      </c>
      <c r="J31" s="473">
        <f>J30*J29*10</f>
        <v>0</v>
      </c>
      <c r="K31" s="473">
        <f>K30*K29*10</f>
        <v>0</v>
      </c>
      <c r="L31" s="473">
        <f>L30*L29*10</f>
        <v>0</v>
      </c>
      <c r="M31" s="324">
        <f>M30*M29*10</f>
        <v>0</v>
      </c>
      <c r="N31" s="490">
        <f>SUM(D31:H31)</f>
        <v>172600</v>
      </c>
      <c r="O31" s="474">
        <f>SUM(I31:M31)</f>
        <v>1726000</v>
      </c>
      <c r="P31" s="484">
        <f>P30*P29</f>
        <v>0</v>
      </c>
      <c r="Q31" s="515">
        <f>N31+O31+P31</f>
        <v>1898600</v>
      </c>
    </row>
    <row r="32" spans="1:17" s="10" customFormat="1" ht="12.75">
      <c r="A32" s="904"/>
      <c r="B32" s="878" t="str">
        <f>'B) Reajuste Tarifas y Ocupación'!B30</f>
        <v>Jornada  Completa</v>
      </c>
      <c r="C32" s="502" t="s">
        <v>234</v>
      </c>
      <c r="D32" s="503">
        <f>'B) Reajuste Tarifas y Ocupación'!M15</f>
        <v>136600</v>
      </c>
      <c r="E32" s="470">
        <f>'B) Reajuste Tarifas y Ocupación'!N15</f>
        <v>163900</v>
      </c>
      <c r="F32" s="470">
        <f>'B) Reajuste Tarifas y Ocupación'!O15</f>
        <v>163900</v>
      </c>
      <c r="G32" s="470">
        <f>'B) Reajuste Tarifas y Ocupación'!P15</f>
        <v>170800</v>
      </c>
      <c r="H32" s="322">
        <f>'B) Reajuste Tarifas y Ocupación'!Q15</f>
        <v>204900</v>
      </c>
      <c r="I32" s="313">
        <f>D32</f>
        <v>136600</v>
      </c>
      <c r="J32" s="422">
        <f>E32</f>
        <v>163900</v>
      </c>
      <c r="K32" s="422">
        <f>F32</f>
        <v>163900</v>
      </c>
      <c r="L32" s="422">
        <f>G32</f>
        <v>170800</v>
      </c>
      <c r="M32" s="327">
        <f>H32</f>
        <v>204900</v>
      </c>
      <c r="N32" s="489"/>
      <c r="O32" s="471"/>
      <c r="P32" s="511">
        <f>+'B) Reajuste Tarifas y Ocupación'!C15</f>
        <v>129200</v>
      </c>
      <c r="Q32" s="889"/>
    </row>
    <row r="33" spans="1:17" s="10" customFormat="1" ht="12.75">
      <c r="A33" s="904"/>
      <c r="B33" s="878"/>
      <c r="C33" s="500" t="s">
        <v>7</v>
      </c>
      <c r="D33" s="496">
        <f>+I33</f>
        <v>23</v>
      </c>
      <c r="E33" s="472">
        <f>+J33</f>
        <v>0</v>
      </c>
      <c r="F33" s="472">
        <f>+K33</f>
        <v>0</v>
      </c>
      <c r="G33" s="472">
        <f>+L33</f>
        <v>0</v>
      </c>
      <c r="H33" s="323">
        <f>+M33</f>
        <v>0</v>
      </c>
      <c r="I33" s="496">
        <v>23</v>
      </c>
      <c r="J33" s="472">
        <f>+'B) Reajuste Tarifas y Ocupación'!D30</f>
        <v>0</v>
      </c>
      <c r="K33" s="472">
        <f>+'B) Reajuste Tarifas y Ocupación'!E30</f>
        <v>0</v>
      </c>
      <c r="L33" s="472">
        <f>+'B) Reajuste Tarifas y Ocupación'!F30</f>
        <v>0</v>
      </c>
      <c r="M33" s="323">
        <f>+'B) Reajuste Tarifas y Ocupación'!G30</f>
        <v>0</v>
      </c>
      <c r="N33" s="489"/>
      <c r="O33" s="471"/>
      <c r="P33" s="510">
        <v>0</v>
      </c>
      <c r="Q33" s="889"/>
    </row>
    <row r="34" spans="1:17" s="10" customFormat="1" ht="12.75">
      <c r="A34" s="904"/>
      <c r="B34" s="878"/>
      <c r="C34" s="501" t="s">
        <v>9</v>
      </c>
      <c r="D34" s="497">
        <f>D33*D32</f>
        <v>3141800</v>
      </c>
      <c r="E34" s="473">
        <f>E33*E32</f>
        <v>0</v>
      </c>
      <c r="F34" s="473">
        <f>F33*F32</f>
        <v>0</v>
      </c>
      <c r="G34" s="473">
        <f>G33*G32</f>
        <v>0</v>
      </c>
      <c r="H34" s="324">
        <f>H33*H32</f>
        <v>0</v>
      </c>
      <c r="I34" s="497">
        <f>I33*I32*10</f>
        <v>31418000</v>
      </c>
      <c r="J34" s="473">
        <f>J33*J32*10</f>
        <v>0</v>
      </c>
      <c r="K34" s="473">
        <f>K33*K32*10</f>
        <v>0</v>
      </c>
      <c r="L34" s="473">
        <f>L33*L32*10</f>
        <v>0</v>
      </c>
      <c r="M34" s="324">
        <f>M33*M32*10</f>
        <v>0</v>
      </c>
      <c r="N34" s="490">
        <f>SUM(D34:H34)</f>
        <v>3141800</v>
      </c>
      <c r="O34" s="474">
        <f>SUM(I34:M34)</f>
        <v>31418000</v>
      </c>
      <c r="P34" s="484">
        <f>P33*P32</f>
        <v>0</v>
      </c>
      <c r="Q34" s="515">
        <f>N34+O34+P34</f>
        <v>34559800</v>
      </c>
    </row>
    <row r="35" spans="1:17" s="10" customFormat="1" ht="15.75" thickBot="1">
      <c r="A35" s="905"/>
      <c r="B35" s="872" t="s">
        <v>10</v>
      </c>
      <c r="C35" s="873"/>
      <c r="D35" s="498">
        <f aca="true" t="shared" si="4" ref="D35:Q35">+D31+D34</f>
        <v>3314400</v>
      </c>
      <c r="E35" s="477">
        <f t="shared" si="4"/>
        <v>0</v>
      </c>
      <c r="F35" s="477">
        <f t="shared" si="4"/>
        <v>0</v>
      </c>
      <c r="G35" s="477">
        <f t="shared" si="4"/>
        <v>0</v>
      </c>
      <c r="H35" s="478">
        <f t="shared" si="4"/>
        <v>0</v>
      </c>
      <c r="I35" s="498">
        <f t="shared" si="4"/>
        <v>33144000</v>
      </c>
      <c r="J35" s="477">
        <f t="shared" si="4"/>
        <v>0</v>
      </c>
      <c r="K35" s="477">
        <f t="shared" si="4"/>
        <v>0</v>
      </c>
      <c r="L35" s="477">
        <f t="shared" si="4"/>
        <v>0</v>
      </c>
      <c r="M35" s="478">
        <f t="shared" si="4"/>
        <v>0</v>
      </c>
      <c r="N35" s="491">
        <f t="shared" si="4"/>
        <v>3314400</v>
      </c>
      <c r="O35" s="477">
        <f t="shared" si="4"/>
        <v>33144000</v>
      </c>
      <c r="P35" s="485">
        <f t="shared" si="4"/>
        <v>0</v>
      </c>
      <c r="Q35" s="516">
        <f t="shared" si="4"/>
        <v>36458400</v>
      </c>
    </row>
    <row r="36" spans="1:17" ht="12.75">
      <c r="A36" s="874" t="str">
        <f>+'B) Reajuste Tarifas y Ocupación'!A19</f>
        <v>Sala Cuna Burbujitas de Mar</v>
      </c>
      <c r="B36" s="877" t="str">
        <f>+'B) Reajuste Tarifas y Ocupación'!B19</f>
        <v>Jornada Completa Diurna</v>
      </c>
      <c r="C36" s="499" t="s">
        <v>234</v>
      </c>
      <c r="D36" s="504"/>
      <c r="E36" s="475">
        <f aca="true" t="shared" si="5" ref="E36:H37">+J36</f>
        <v>393300</v>
      </c>
      <c r="F36" s="475">
        <f t="shared" si="5"/>
        <v>393300</v>
      </c>
      <c r="G36" s="475">
        <f t="shared" si="5"/>
        <v>409600</v>
      </c>
      <c r="H36" s="495">
        <f t="shared" si="5"/>
        <v>491600</v>
      </c>
      <c r="I36" s="423">
        <f>+'B) Reajuste Tarifas y Ocupación'!M19</f>
        <v>327700</v>
      </c>
      <c r="J36" s="289">
        <f>+'B) Reajuste Tarifas y Ocupación'!N19</f>
        <v>393300</v>
      </c>
      <c r="K36" s="289">
        <f>+'B) Reajuste Tarifas y Ocupación'!O19</f>
        <v>393300</v>
      </c>
      <c r="L36" s="289">
        <f>+'B) Reajuste Tarifas y Ocupación'!P19</f>
        <v>409600</v>
      </c>
      <c r="M36" s="311">
        <f>+'B) Reajuste Tarifas y Ocupación'!Q19</f>
        <v>491600</v>
      </c>
      <c r="N36" s="488"/>
      <c r="O36" s="476"/>
      <c r="P36" s="512"/>
      <c r="Q36" s="890"/>
    </row>
    <row r="37" spans="1:17" ht="12.75">
      <c r="A37" s="875"/>
      <c r="B37" s="878"/>
      <c r="C37" s="500" t="s">
        <v>7</v>
      </c>
      <c r="D37" s="505">
        <v>0</v>
      </c>
      <c r="E37" s="470">
        <f t="shared" si="5"/>
        <v>0</v>
      </c>
      <c r="F37" s="470">
        <f t="shared" si="5"/>
        <v>0</v>
      </c>
      <c r="G37" s="470">
        <f t="shared" si="5"/>
        <v>0</v>
      </c>
      <c r="H37" s="322">
        <f t="shared" si="5"/>
        <v>0</v>
      </c>
      <c r="I37" s="496">
        <v>45</v>
      </c>
      <c r="J37" s="472">
        <f>+'B) Reajuste Tarifas y Ocupación'!D34</f>
        <v>0</v>
      </c>
      <c r="K37" s="472">
        <f>+'B) Reajuste Tarifas y Ocupación'!E34</f>
        <v>0</v>
      </c>
      <c r="L37" s="472">
        <f>+'B) Reajuste Tarifas y Ocupación'!F34</f>
        <v>0</v>
      </c>
      <c r="M37" s="323">
        <f>+'B) Reajuste Tarifas y Ocupación'!G34</f>
        <v>0</v>
      </c>
      <c r="N37" s="489"/>
      <c r="O37" s="471"/>
      <c r="P37" s="513"/>
      <c r="Q37" s="889"/>
    </row>
    <row r="38" spans="1:17" ht="12.75">
      <c r="A38" s="875"/>
      <c r="B38" s="878"/>
      <c r="C38" s="501" t="s">
        <v>9</v>
      </c>
      <c r="D38" s="506">
        <f>D37*D36</f>
        <v>0</v>
      </c>
      <c r="E38" s="481">
        <f>E37*E36</f>
        <v>0</v>
      </c>
      <c r="F38" s="481">
        <f>F37*F36</f>
        <v>0</v>
      </c>
      <c r="G38" s="473">
        <f>G37*G36</f>
        <v>0</v>
      </c>
      <c r="H38" s="324">
        <f>H37*H36</f>
        <v>0</v>
      </c>
      <c r="I38" s="497">
        <f>I37*I36*12</f>
        <v>176958000</v>
      </c>
      <c r="J38" s="473">
        <f>J37*J36*12</f>
        <v>0</v>
      </c>
      <c r="K38" s="473">
        <f>K37*K36*12</f>
        <v>0</v>
      </c>
      <c r="L38" s="473">
        <f>L37*L36*12</f>
        <v>0</v>
      </c>
      <c r="M38" s="324">
        <f>M37*M36*12</f>
        <v>0</v>
      </c>
      <c r="N38" s="490">
        <f>SUM(D38:H38)</f>
        <v>0</v>
      </c>
      <c r="O38" s="474">
        <f>SUM(I38:M38)</f>
        <v>176958000</v>
      </c>
      <c r="P38" s="486"/>
      <c r="Q38" s="515">
        <f>N38+O38+P38</f>
        <v>176958000</v>
      </c>
    </row>
    <row r="39" spans="1:17" ht="12.75">
      <c r="A39" s="875"/>
      <c r="B39" s="878" t="str">
        <f>+'B) Reajuste Tarifas y Ocupación'!B20</f>
        <v>Nocturna</v>
      </c>
      <c r="C39" s="502" t="s">
        <v>234</v>
      </c>
      <c r="D39" s="507"/>
      <c r="E39" s="479"/>
      <c r="F39" s="479"/>
      <c r="G39" s="479"/>
      <c r="H39" s="325"/>
      <c r="I39" s="313">
        <f>+'B) Reajuste Tarifas y Ocupación'!M20</f>
        <v>264300</v>
      </c>
      <c r="J39" s="479"/>
      <c r="K39" s="479"/>
      <c r="L39" s="479"/>
      <c r="M39" s="325"/>
      <c r="N39" s="489"/>
      <c r="O39" s="471"/>
      <c r="P39" s="514"/>
      <c r="Q39" s="889"/>
    </row>
    <row r="40" spans="1:17" ht="12.75">
      <c r="A40" s="875"/>
      <c r="B40" s="878"/>
      <c r="C40" s="500" t="s">
        <v>7</v>
      </c>
      <c r="D40" s="505"/>
      <c r="E40" s="480"/>
      <c r="F40" s="480"/>
      <c r="G40" s="480"/>
      <c r="H40" s="326"/>
      <c r="I40" s="496">
        <f>+'B) Reajuste Tarifas y Ocupación'!C35</f>
        <v>29</v>
      </c>
      <c r="J40" s="480"/>
      <c r="K40" s="480"/>
      <c r="L40" s="480"/>
      <c r="M40" s="326"/>
      <c r="N40" s="489"/>
      <c r="O40" s="471"/>
      <c r="P40" s="513"/>
      <c r="Q40" s="889"/>
    </row>
    <row r="41" spans="1:17" ht="12.75">
      <c r="A41" s="875"/>
      <c r="B41" s="878"/>
      <c r="C41" s="501" t="s">
        <v>9</v>
      </c>
      <c r="D41" s="506">
        <f>D40*D39</f>
        <v>0</v>
      </c>
      <c r="E41" s="481">
        <f>E40*E39</f>
        <v>0</v>
      </c>
      <c r="F41" s="481">
        <f>F40*F39</f>
        <v>0</v>
      </c>
      <c r="G41" s="481">
        <f>G40*G39</f>
        <v>0</v>
      </c>
      <c r="H41" s="508">
        <f>H40*H39</f>
        <v>0</v>
      </c>
      <c r="I41" s="497">
        <f>I40*I39*12</f>
        <v>91976400</v>
      </c>
      <c r="J41" s="473">
        <f>J40*J39*12</f>
        <v>0</v>
      </c>
      <c r="K41" s="473">
        <f>K40*K39*12</f>
        <v>0</v>
      </c>
      <c r="L41" s="473">
        <f>L40*L39*12</f>
        <v>0</v>
      </c>
      <c r="M41" s="324">
        <f>M40*M39*12</f>
        <v>0</v>
      </c>
      <c r="N41" s="490">
        <f>SUM(D41:H41)</f>
        <v>0</v>
      </c>
      <c r="O41" s="474">
        <f>SUM(I41:M41)</f>
        <v>91976400</v>
      </c>
      <c r="P41" s="486"/>
      <c r="Q41" s="515">
        <f>N41+O41+P41</f>
        <v>91976400</v>
      </c>
    </row>
    <row r="42" spans="1:17" ht="12.75">
      <c r="A42" s="875"/>
      <c r="B42" s="878" t="str">
        <f>+'B) Reajuste Tarifas y Ocupación'!B21</f>
        <v>Media Jornada</v>
      </c>
      <c r="C42" s="502" t="s">
        <v>234</v>
      </c>
      <c r="D42" s="507"/>
      <c r="E42" s="470">
        <f>J42</f>
        <v>236000</v>
      </c>
      <c r="F42" s="470">
        <f>K42</f>
        <v>236000</v>
      </c>
      <c r="G42" s="470">
        <f>L42</f>
        <v>295000</v>
      </c>
      <c r="H42" s="322">
        <f>M42</f>
        <v>393300</v>
      </c>
      <c r="I42" s="313">
        <f>+'B) Reajuste Tarifas y Ocupación'!M21</f>
        <v>196700</v>
      </c>
      <c r="J42" s="422">
        <f>+'B) Reajuste Tarifas y Ocupación'!N21</f>
        <v>236000</v>
      </c>
      <c r="K42" s="422">
        <f>+'B) Reajuste Tarifas y Ocupación'!O21</f>
        <v>236000</v>
      </c>
      <c r="L42" s="422">
        <f>+'B) Reajuste Tarifas y Ocupación'!P21</f>
        <v>295000</v>
      </c>
      <c r="M42" s="327">
        <f>+'B) Reajuste Tarifas y Ocupación'!Q21</f>
        <v>393300</v>
      </c>
      <c r="N42" s="489"/>
      <c r="O42" s="471"/>
      <c r="P42" s="514"/>
      <c r="Q42" s="889"/>
    </row>
    <row r="43" spans="1:17" ht="12.75">
      <c r="A43" s="875"/>
      <c r="B43" s="878"/>
      <c r="C43" s="500" t="s">
        <v>7</v>
      </c>
      <c r="D43" s="505"/>
      <c r="E43" s="470">
        <f>+J43</f>
        <v>0</v>
      </c>
      <c r="F43" s="470">
        <f>+K43</f>
        <v>0</v>
      </c>
      <c r="G43" s="470">
        <f>+L43</f>
        <v>0</v>
      </c>
      <c r="H43" s="322">
        <f>+M43</f>
        <v>0</v>
      </c>
      <c r="I43" s="496">
        <f>+'B) Reajuste Tarifas y Ocupación'!C36</f>
        <v>0</v>
      </c>
      <c r="J43" s="472">
        <f>+'B) Reajuste Tarifas y Ocupación'!D36</f>
        <v>0</v>
      </c>
      <c r="K43" s="472">
        <f>+'B) Reajuste Tarifas y Ocupación'!E36</f>
        <v>0</v>
      </c>
      <c r="L43" s="472">
        <f>+'B) Reajuste Tarifas y Ocupación'!F36</f>
        <v>0</v>
      </c>
      <c r="M43" s="323">
        <f>+'B) Reajuste Tarifas y Ocupación'!G36</f>
        <v>0</v>
      </c>
      <c r="N43" s="489"/>
      <c r="O43" s="471"/>
      <c r="P43" s="513"/>
      <c r="Q43" s="889"/>
    </row>
    <row r="44" spans="1:17" ht="12.75">
      <c r="A44" s="875"/>
      <c r="B44" s="878"/>
      <c r="C44" s="501" t="s">
        <v>9</v>
      </c>
      <c r="D44" s="506">
        <f>D43*D42</f>
        <v>0</v>
      </c>
      <c r="E44" s="481">
        <f>E43*E42</f>
        <v>0</v>
      </c>
      <c r="F44" s="481"/>
      <c r="G44" s="481">
        <f>G43*G42</f>
        <v>0</v>
      </c>
      <c r="H44" s="508">
        <f>H43*H42</f>
        <v>0</v>
      </c>
      <c r="I44" s="497">
        <f>I43*I42*12</f>
        <v>0</v>
      </c>
      <c r="J44" s="473">
        <f>J43*J42*12</f>
        <v>0</v>
      </c>
      <c r="K44" s="473">
        <f>K43*K42*12</f>
        <v>0</v>
      </c>
      <c r="L44" s="473">
        <f>L43*L42*12</f>
        <v>0</v>
      </c>
      <c r="M44" s="324">
        <f>M43*M42*12</f>
        <v>0</v>
      </c>
      <c r="N44" s="490">
        <f>SUM(D44:H44)</f>
        <v>0</v>
      </c>
      <c r="O44" s="474">
        <f>SUM(I44:M44)</f>
        <v>0</v>
      </c>
      <c r="P44" s="486"/>
      <c r="Q44" s="515">
        <f>N44+O44+P44</f>
        <v>0</v>
      </c>
    </row>
    <row r="45" spans="1:17" ht="15.75" thickBot="1">
      <c r="A45" s="876"/>
      <c r="B45" s="872" t="s">
        <v>10</v>
      </c>
      <c r="C45" s="873"/>
      <c r="D45" s="498">
        <f>SUM(D38,D41,D44)</f>
        <v>0</v>
      </c>
      <c r="E45" s="477">
        <f>SUM(E38,E41,E44)</f>
        <v>0</v>
      </c>
      <c r="F45" s="477">
        <f aca="true" t="shared" si="6" ref="F45:Q45">SUM(F38,F41,F44)</f>
        <v>0</v>
      </c>
      <c r="G45" s="477">
        <f t="shared" si="6"/>
        <v>0</v>
      </c>
      <c r="H45" s="478">
        <f t="shared" si="6"/>
        <v>0</v>
      </c>
      <c r="I45" s="498">
        <f t="shared" si="6"/>
        <v>268934400</v>
      </c>
      <c r="J45" s="477">
        <f t="shared" si="6"/>
        <v>0</v>
      </c>
      <c r="K45" s="477">
        <f t="shared" si="6"/>
        <v>0</v>
      </c>
      <c r="L45" s="477">
        <f t="shared" si="6"/>
        <v>0</v>
      </c>
      <c r="M45" s="478">
        <f t="shared" si="6"/>
        <v>0</v>
      </c>
      <c r="N45" s="491">
        <f>SUM(N38,N41,N44)</f>
        <v>0</v>
      </c>
      <c r="O45" s="477">
        <f>SUM(O38,O41,O44)</f>
        <v>268934400</v>
      </c>
      <c r="P45" s="485">
        <f>SUM(P38,P41,P44)</f>
        <v>0</v>
      </c>
      <c r="Q45" s="516">
        <f t="shared" si="6"/>
        <v>268934400</v>
      </c>
    </row>
    <row r="46" spans="1:17" ht="15" customHeight="1" thickBot="1">
      <c r="A46" s="866" t="s">
        <v>8</v>
      </c>
      <c r="B46" s="867"/>
      <c r="C46" s="868"/>
      <c r="D46" s="232">
        <f aca="true" t="shared" si="7" ref="D46:Q46">+D28+D45+D35</f>
        <v>5158700</v>
      </c>
      <c r="E46" s="482">
        <f t="shared" si="7"/>
        <v>0</v>
      </c>
      <c r="F46" s="482">
        <f t="shared" si="7"/>
        <v>0</v>
      </c>
      <c r="G46" s="482">
        <f t="shared" si="7"/>
        <v>0</v>
      </c>
      <c r="H46" s="483">
        <f t="shared" si="7"/>
        <v>0</v>
      </c>
      <c r="I46" s="232">
        <f t="shared" si="7"/>
        <v>320521400</v>
      </c>
      <c r="J46" s="482">
        <f t="shared" si="7"/>
        <v>0</v>
      </c>
      <c r="K46" s="482">
        <f t="shared" si="7"/>
        <v>0</v>
      </c>
      <c r="L46" s="482">
        <f t="shared" si="7"/>
        <v>0</v>
      </c>
      <c r="M46" s="483">
        <f t="shared" si="7"/>
        <v>0</v>
      </c>
      <c r="N46" s="492">
        <f t="shared" si="7"/>
        <v>5158700</v>
      </c>
      <c r="O46" s="482">
        <f t="shared" si="7"/>
        <v>320521400</v>
      </c>
      <c r="P46" s="487">
        <f t="shared" si="7"/>
        <v>0</v>
      </c>
      <c r="Q46" s="517">
        <f t="shared" si="7"/>
        <v>325680100</v>
      </c>
    </row>
  </sheetData>
  <sheetProtection password="8D26" sheet="1"/>
  <mergeCells count="34">
    <mergeCell ref="Q29:Q30"/>
    <mergeCell ref="A20:A21"/>
    <mergeCell ref="B20:B21"/>
    <mergeCell ref="A29:A35"/>
    <mergeCell ref="B29:B31"/>
    <mergeCell ref="B32:B34"/>
    <mergeCell ref="B35:C35"/>
    <mergeCell ref="Q42:Q43"/>
    <mergeCell ref="Q36:Q37"/>
    <mergeCell ref="Q39:Q40"/>
    <mergeCell ref="N20:N21"/>
    <mergeCell ref="O20:O21"/>
    <mergeCell ref="Q20:Q21"/>
    <mergeCell ref="Q32:Q33"/>
    <mergeCell ref="Q22:Q23"/>
    <mergeCell ref="P20:P21"/>
    <mergeCell ref="Q25:Q26"/>
    <mergeCell ref="C4:D4"/>
    <mergeCell ref="E4:G4"/>
    <mergeCell ref="C20:C21"/>
    <mergeCell ref="D20:H20"/>
    <mergeCell ref="B25:B27"/>
    <mergeCell ref="A6:D6"/>
    <mergeCell ref="A18:D18"/>
    <mergeCell ref="A46:C46"/>
    <mergeCell ref="I20:M20"/>
    <mergeCell ref="B28:C28"/>
    <mergeCell ref="A22:A28"/>
    <mergeCell ref="B22:B24"/>
    <mergeCell ref="A36:A45"/>
    <mergeCell ref="B45:C45"/>
    <mergeCell ref="B39:B41"/>
    <mergeCell ref="B42:B44"/>
    <mergeCell ref="B36:B38"/>
  </mergeCells>
  <conditionalFormatting sqref="C14:N14 B9:I13 D15:N17 E18:N18">
    <cfRule type="cellIs" priority="7" dxfId="2" operator="lessThan" stopIfTrue="1">
      <formula>0</formula>
    </cfRule>
  </conditionalFormatting>
  <printOptions/>
  <pageMargins left="0.19652777777777777" right="0.19652777777777777" top="0.275" bottom="0.19652777777777777" header="0.19652777777777777" footer="0.5118055555555555"/>
  <pageSetup fitToHeight="14" fitToWidth="1" horizontalDpi="300" verticalDpi="300" orientation="landscape" r:id="rId1"/>
  <headerFooter alignWithMargins="0">
    <oddHeader>&amp;LSEPT - 2004&amp;CDIRECTIVA D.B.S.A.ORDINARIA&amp;R02-BS/0307/02Pag &amp;P de &amp;N</oddHeader>
  </headerFooter>
  <ignoredErrors>
    <ignoredError sqref="D23:H23 D22:H22 J22 D25:Q25 I24:Q24 J23:O23 Q38 I42:J42 I40 D45 N43:O43 G36:J36 L22:Q22 N39:O39 N37:O37 L42:O42 N41:O41 N40:O40 L45:M45 L36:O36 D44 N44:O44 I39 Q23 D27:Q27 D26:H26 Q26 I43 F44:H44 F45:J45 Q45 D28:O28 Q28 Q41 Q44 Q40 Q43 Q39 Q37 Q42 Q36 J26:O26" unlockedFormula="1"/>
    <ignoredError sqref="F24:H24 F38" formula="1" unlockedFormula="1"/>
    <ignoredError sqref="D24:E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V36"/>
  <sheetViews>
    <sheetView showGridLines="0" zoomScale="80" zoomScaleNormal="80" zoomScalePageLayoutView="0" workbookViewId="0" topLeftCell="A16">
      <selection activeCell="H35" sqref="H35"/>
    </sheetView>
  </sheetViews>
  <sheetFormatPr defaultColWidth="11.421875" defaultRowHeight="12.75"/>
  <cols>
    <col min="1" max="1" width="56.57421875" style="45" customWidth="1"/>
    <col min="2" max="2" width="33.8515625" style="32" customWidth="1"/>
    <col min="3" max="3" width="12.28125" style="45" customWidth="1"/>
    <col min="4" max="4" width="13.7109375" style="45" bestFit="1" customWidth="1"/>
    <col min="5" max="5" width="15.57421875" style="45" bestFit="1" customWidth="1"/>
    <col min="6" max="6" width="14.57421875" style="45" customWidth="1"/>
    <col min="7" max="7" width="14.8515625" style="45" customWidth="1"/>
    <col min="8" max="8" width="11.8515625" style="45" bestFit="1" customWidth="1"/>
    <col min="9" max="9" width="14.57421875" style="45" bestFit="1" customWidth="1"/>
    <col min="10" max="10" width="14.57421875" style="45" customWidth="1"/>
    <col min="11" max="12" width="11.8515625" style="45" customWidth="1"/>
    <col min="13" max="13" width="14.00390625" style="45" customWidth="1"/>
    <col min="14" max="15" width="14.57421875" style="45" customWidth="1"/>
    <col min="16" max="17" width="11.8515625" style="45" customWidth="1"/>
    <col min="18" max="18" width="11.8515625" style="32" customWidth="1"/>
    <col min="19" max="19" width="32.7109375" style="45" customWidth="1"/>
    <col min="20" max="20" width="33.00390625" style="32" bestFit="1" customWidth="1"/>
    <col min="21" max="21" width="13.8515625" style="45" customWidth="1"/>
    <col min="22" max="22" width="14.57421875" style="45" bestFit="1" customWidth="1"/>
    <col min="23" max="23" width="14.57421875" style="45" customWidth="1"/>
    <col min="24" max="24" width="12.8515625" style="45" bestFit="1" customWidth="1"/>
    <col min="25" max="16384" width="11.421875" style="45" customWidth="1"/>
  </cols>
  <sheetData>
    <row r="1" spans="1:256" s="6" customFormat="1" ht="12.75">
      <c r="A1" s="5"/>
      <c r="C1" s="7"/>
      <c r="D1" s="7"/>
      <c r="E1" s="7"/>
      <c r="F1" s="44" t="s">
        <v>204</v>
      </c>
      <c r="G1" s="7"/>
      <c r="R1" s="17"/>
      <c r="S1" s="5"/>
      <c r="IU1" s="4"/>
      <c r="IV1" s="4"/>
    </row>
    <row r="2" spans="1:256" s="6" customFormat="1" ht="12.75">
      <c r="A2" s="8"/>
      <c r="C2" s="7"/>
      <c r="D2" s="7"/>
      <c r="E2" s="7"/>
      <c r="F2" s="44" t="s">
        <v>197</v>
      </c>
      <c r="G2" s="7"/>
      <c r="R2" s="17"/>
      <c r="S2" s="8"/>
      <c r="V2" s="7"/>
      <c r="W2" s="7"/>
      <c r="X2" s="7"/>
      <c r="IU2" s="4"/>
      <c r="IV2" s="4"/>
    </row>
    <row r="3" spans="1:256" s="6" customFormat="1" ht="12.75">
      <c r="A3" s="4"/>
      <c r="R3" s="17"/>
      <c r="S3" s="4"/>
      <c r="IU3" s="4"/>
      <c r="IV3" s="4"/>
    </row>
    <row r="4" spans="1:251" s="6" customFormat="1" ht="13.5" thickBot="1">
      <c r="A4" s="25"/>
      <c r="B4" s="2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55"/>
      <c r="S4" s="25"/>
      <c r="T4" s="26"/>
      <c r="U4" s="7"/>
      <c r="V4" s="7"/>
      <c r="W4" s="7"/>
      <c r="X4" s="7"/>
      <c r="Y4" s="7"/>
      <c r="IL4" s="4"/>
      <c r="IM4" s="4"/>
      <c r="IN4" s="4"/>
      <c r="IO4" s="4"/>
      <c r="IP4" s="4"/>
      <c r="IQ4" s="4"/>
    </row>
    <row r="5" spans="1:251" s="6" customFormat="1" ht="18" customHeight="1" thickBot="1">
      <c r="A5" s="25"/>
      <c r="B5" s="26"/>
      <c r="C5" s="879" t="s">
        <v>0</v>
      </c>
      <c r="D5" s="909"/>
      <c r="E5" s="98"/>
      <c r="F5" s="925" t="s">
        <v>124</v>
      </c>
      <c r="G5" s="926"/>
      <c r="R5" s="17"/>
      <c r="S5" s="25"/>
      <c r="T5" s="26"/>
      <c r="V5" s="3"/>
      <c r="W5" s="3"/>
      <c r="IL5" s="4"/>
      <c r="IM5" s="4"/>
      <c r="IN5" s="4"/>
      <c r="IO5" s="4"/>
      <c r="IP5" s="4"/>
      <c r="IQ5" s="4"/>
    </row>
    <row r="6" spans="1:251" s="6" customFormat="1" ht="18" customHeight="1">
      <c r="A6" s="25"/>
      <c r="B6" s="26"/>
      <c r="C6" s="98"/>
      <c r="D6" s="98"/>
      <c r="E6" s="98"/>
      <c r="F6" s="100"/>
      <c r="G6" s="100"/>
      <c r="R6" s="17"/>
      <c r="S6" s="25"/>
      <c r="T6" s="26"/>
      <c r="V6" s="3"/>
      <c r="W6" s="3"/>
      <c r="IL6" s="4"/>
      <c r="IM6" s="4"/>
      <c r="IN6" s="4"/>
      <c r="IO6" s="4"/>
      <c r="IP6" s="4"/>
      <c r="IQ6" s="4"/>
    </row>
    <row r="7" spans="1:251" s="6" customFormat="1" ht="18" customHeight="1">
      <c r="A7" s="25"/>
      <c r="B7" s="26"/>
      <c r="C7" s="98"/>
      <c r="D7" s="98"/>
      <c r="E7" s="98"/>
      <c r="F7" s="100"/>
      <c r="G7" s="100"/>
      <c r="R7" s="17"/>
      <c r="S7" s="25"/>
      <c r="T7" s="26"/>
      <c r="V7" s="59"/>
      <c r="W7" s="59"/>
      <c r="IL7" s="4"/>
      <c r="IM7" s="4"/>
      <c r="IN7" s="4"/>
      <c r="IO7" s="4"/>
      <c r="IP7" s="4"/>
      <c r="IQ7" s="4"/>
    </row>
    <row r="8" spans="1:251" s="17" customFormat="1" ht="15.75">
      <c r="A8" s="917" t="s">
        <v>150</v>
      </c>
      <c r="B8" s="917"/>
      <c r="C8" s="917"/>
      <c r="D8" s="917"/>
      <c r="E8" s="850"/>
      <c r="F8" s="100"/>
      <c r="G8" s="100"/>
      <c r="IL8" s="10"/>
      <c r="IM8" s="10"/>
      <c r="IN8" s="10"/>
      <c r="IO8" s="10"/>
      <c r="IP8" s="10"/>
      <c r="IQ8" s="10"/>
    </row>
    <row r="9" ht="13.5" customHeight="1" thickBot="1"/>
    <row r="10" spans="1:18" ht="15.75" customHeight="1">
      <c r="A10" s="918" t="s">
        <v>135</v>
      </c>
      <c r="B10" s="912" t="s">
        <v>5</v>
      </c>
      <c r="C10" s="914" t="s">
        <v>217</v>
      </c>
      <c r="D10" s="915"/>
      <c r="E10" s="915"/>
      <c r="F10" s="915"/>
      <c r="G10" s="916"/>
      <c r="H10" s="932" t="s">
        <v>108</v>
      </c>
      <c r="I10" s="933"/>
      <c r="J10" s="933"/>
      <c r="K10" s="933"/>
      <c r="L10" s="934"/>
      <c r="M10" s="930" t="s">
        <v>235</v>
      </c>
      <c r="N10" s="915"/>
      <c r="O10" s="915"/>
      <c r="P10" s="915"/>
      <c r="Q10" s="931"/>
      <c r="R10" s="20"/>
    </row>
    <row r="11" spans="1:18" ht="69" customHeight="1" thickBot="1">
      <c r="A11" s="919"/>
      <c r="B11" s="913"/>
      <c r="C11" s="396" t="s">
        <v>86</v>
      </c>
      <c r="D11" s="315" t="s">
        <v>137</v>
      </c>
      <c r="E11" s="315" t="s">
        <v>138</v>
      </c>
      <c r="F11" s="315" t="s">
        <v>87</v>
      </c>
      <c r="G11" s="379" t="s">
        <v>88</v>
      </c>
      <c r="H11" s="381" t="s">
        <v>86</v>
      </c>
      <c r="I11" s="382" t="s">
        <v>137</v>
      </c>
      <c r="J11" s="382" t="s">
        <v>138</v>
      </c>
      <c r="K11" s="383" t="s">
        <v>87</v>
      </c>
      <c r="L11" s="384" t="s">
        <v>88</v>
      </c>
      <c r="M11" s="380" t="s">
        <v>86</v>
      </c>
      <c r="N11" s="315" t="s">
        <v>137</v>
      </c>
      <c r="O11" s="315" t="s">
        <v>138</v>
      </c>
      <c r="P11" s="315" t="s">
        <v>87</v>
      </c>
      <c r="Q11" s="397" t="s">
        <v>88</v>
      </c>
      <c r="R11" s="20"/>
    </row>
    <row r="12" spans="1:18" ht="19.5" customHeight="1">
      <c r="A12" s="927" t="s">
        <v>210</v>
      </c>
      <c r="B12" s="362" t="s">
        <v>128</v>
      </c>
      <c r="C12" s="363">
        <v>57900</v>
      </c>
      <c r="D12" s="364">
        <v>69500</v>
      </c>
      <c r="E12" s="364">
        <v>69500</v>
      </c>
      <c r="F12" s="364">
        <v>79100</v>
      </c>
      <c r="G12" s="328">
        <v>100700</v>
      </c>
      <c r="H12" s="385">
        <v>0.057</v>
      </c>
      <c r="I12" s="365">
        <f>+H12</f>
        <v>0.057</v>
      </c>
      <c r="J12" s="365">
        <f>+H12</f>
        <v>0.057</v>
      </c>
      <c r="K12" s="365">
        <f>+H12</f>
        <v>0.057</v>
      </c>
      <c r="L12" s="386">
        <f>+H12</f>
        <v>0.057</v>
      </c>
      <c r="M12" s="329">
        <f>CEILING(C12*(1+H12),100)</f>
        <v>61300</v>
      </c>
      <c r="N12" s="366">
        <f>+CEILING(C12*(1.2)*(1+I12),100)</f>
        <v>73500</v>
      </c>
      <c r="O12" s="366">
        <f>+CEILING(C12*(1.2)*(1+J12),100)</f>
        <v>73500</v>
      </c>
      <c r="P12" s="366">
        <f aca="true" t="shared" si="0" ref="P12:Q15">+CEILING(F12*(1+K12),100)</f>
        <v>83700</v>
      </c>
      <c r="Q12" s="367">
        <f t="shared" si="0"/>
        <v>106500</v>
      </c>
      <c r="R12" s="83"/>
    </row>
    <row r="13" spans="1:17" ht="19.5" customHeight="1" thickBot="1">
      <c r="A13" s="929"/>
      <c r="B13" s="368" t="s">
        <v>211</v>
      </c>
      <c r="C13" s="369">
        <v>73700</v>
      </c>
      <c r="D13" s="372">
        <f>+CEILING(C13*1.2,100)</f>
        <v>88500</v>
      </c>
      <c r="E13" s="372">
        <f>+CEILING(C13*1.2,100)</f>
        <v>88500</v>
      </c>
      <c r="F13" s="372">
        <f>+CEILING(C13*1.5,100)</f>
        <v>110600</v>
      </c>
      <c r="G13" s="373">
        <f>+CEILING(C13*2,100)</f>
        <v>147400</v>
      </c>
      <c r="H13" s="387">
        <v>0.057</v>
      </c>
      <c r="I13" s="374">
        <f>+H13</f>
        <v>0.057</v>
      </c>
      <c r="J13" s="374">
        <f>+H13</f>
        <v>0.057</v>
      </c>
      <c r="K13" s="374">
        <f>+H13</f>
        <v>0.057</v>
      </c>
      <c r="L13" s="388">
        <f>+H13</f>
        <v>0.057</v>
      </c>
      <c r="M13" s="391">
        <f>CEILING(C13*(1+H13),100)</f>
        <v>78000</v>
      </c>
      <c r="N13" s="375">
        <f>+CEILING(C13*(1.2)*(1+I13),100)</f>
        <v>93500</v>
      </c>
      <c r="O13" s="375">
        <f>+CEILING(C13*(1.2)*(1+J13),100)</f>
        <v>93500</v>
      </c>
      <c r="P13" s="375">
        <f t="shared" si="0"/>
        <v>117000</v>
      </c>
      <c r="Q13" s="376">
        <f t="shared" si="0"/>
        <v>155900</v>
      </c>
    </row>
    <row r="14" spans="1:17" ht="19.5" customHeight="1">
      <c r="A14" s="927" t="s">
        <v>218</v>
      </c>
      <c r="B14" s="330" t="s">
        <v>128</v>
      </c>
      <c r="C14" s="370">
        <v>81600</v>
      </c>
      <c r="D14" s="364">
        <v>98000</v>
      </c>
      <c r="E14" s="364">
        <v>98000</v>
      </c>
      <c r="F14" s="364">
        <v>102000</v>
      </c>
      <c r="G14" s="328">
        <v>122400</v>
      </c>
      <c r="H14" s="400">
        <v>0.057</v>
      </c>
      <c r="I14" s="360">
        <f>+H14</f>
        <v>0.057</v>
      </c>
      <c r="J14" s="360">
        <f>+H14</f>
        <v>0.057</v>
      </c>
      <c r="K14" s="360">
        <f>+H14</f>
        <v>0.057</v>
      </c>
      <c r="L14" s="401">
        <f>+H14</f>
        <v>0.057</v>
      </c>
      <c r="M14" s="398">
        <f>CEILING(C14*(1+H14),100)</f>
        <v>86300</v>
      </c>
      <c r="N14" s="361">
        <f>+CEILING(C14*(1.2)*(1+I14),100)</f>
        <v>103600</v>
      </c>
      <c r="O14" s="361">
        <f>+CEILING(C14*(1.2)*(1+J14),100)</f>
        <v>103600</v>
      </c>
      <c r="P14" s="361">
        <f t="shared" si="0"/>
        <v>107900</v>
      </c>
      <c r="Q14" s="399">
        <f t="shared" si="0"/>
        <v>129400</v>
      </c>
    </row>
    <row r="15" spans="1:17" ht="19.5" customHeight="1" thickBot="1">
      <c r="A15" s="929"/>
      <c r="B15" s="331" t="s">
        <v>219</v>
      </c>
      <c r="C15" s="371">
        <v>129200</v>
      </c>
      <c r="D15" s="372">
        <v>155100</v>
      </c>
      <c r="E15" s="372">
        <v>155100</v>
      </c>
      <c r="F15" s="372">
        <v>161500</v>
      </c>
      <c r="G15" s="373">
        <v>193800</v>
      </c>
      <c r="H15" s="387">
        <v>0.057</v>
      </c>
      <c r="I15" s="374">
        <f>+H15</f>
        <v>0.057</v>
      </c>
      <c r="J15" s="374">
        <f>+H15</f>
        <v>0.057</v>
      </c>
      <c r="K15" s="374">
        <f>+H15</f>
        <v>0.057</v>
      </c>
      <c r="L15" s="388">
        <f>+H15</f>
        <v>0.057</v>
      </c>
      <c r="M15" s="391">
        <f>CEILING(C15*(1+H15),100)</f>
        <v>136600</v>
      </c>
      <c r="N15" s="375">
        <f>+CEILING(C15*(1.2)*(1+I15),100)</f>
        <v>163900</v>
      </c>
      <c r="O15" s="375">
        <f>+CEILING(C15*(1.2)*(1+J15),100)</f>
        <v>163900</v>
      </c>
      <c r="P15" s="375">
        <f t="shared" si="0"/>
        <v>170800</v>
      </c>
      <c r="Q15" s="376">
        <f t="shared" si="0"/>
        <v>204900</v>
      </c>
    </row>
    <row r="16" spans="2:18" ht="12.75" customHeight="1" thickBot="1">
      <c r="B16" s="45"/>
      <c r="R16" s="45"/>
    </row>
    <row r="17" spans="1:18" ht="15.75" customHeight="1">
      <c r="A17" s="918" t="s">
        <v>136</v>
      </c>
      <c r="B17" s="912" t="s">
        <v>5</v>
      </c>
      <c r="C17" s="914" t="s">
        <v>217</v>
      </c>
      <c r="D17" s="915"/>
      <c r="E17" s="915"/>
      <c r="F17" s="915"/>
      <c r="G17" s="931"/>
      <c r="H17" s="932" t="s">
        <v>108</v>
      </c>
      <c r="I17" s="933"/>
      <c r="J17" s="933"/>
      <c r="K17" s="933"/>
      <c r="L17" s="934"/>
      <c r="M17" s="937" t="s">
        <v>235</v>
      </c>
      <c r="N17" s="938"/>
      <c r="O17" s="938"/>
      <c r="P17" s="938"/>
      <c r="Q17" s="939"/>
      <c r="R17" s="20"/>
    </row>
    <row r="18" spans="1:18" ht="72.75" customHeight="1" thickBot="1">
      <c r="A18" s="919"/>
      <c r="B18" s="913"/>
      <c r="C18" s="396" t="s">
        <v>86</v>
      </c>
      <c r="D18" s="315" t="s">
        <v>137</v>
      </c>
      <c r="E18" s="315" t="s">
        <v>138</v>
      </c>
      <c r="F18" s="315" t="s">
        <v>87</v>
      </c>
      <c r="G18" s="397" t="s">
        <v>88</v>
      </c>
      <c r="H18" s="392" t="s">
        <v>86</v>
      </c>
      <c r="I18" s="382" t="s">
        <v>137</v>
      </c>
      <c r="J18" s="382" t="s">
        <v>138</v>
      </c>
      <c r="K18" s="393" t="s">
        <v>87</v>
      </c>
      <c r="L18" s="384" t="s">
        <v>88</v>
      </c>
      <c r="M18" s="389" t="s">
        <v>86</v>
      </c>
      <c r="N18" s="315" t="s">
        <v>137</v>
      </c>
      <c r="O18" s="315" t="s">
        <v>138</v>
      </c>
      <c r="P18" s="296" t="s">
        <v>87</v>
      </c>
      <c r="Q18" s="303" t="s">
        <v>88</v>
      </c>
      <c r="R18" s="20"/>
    </row>
    <row r="19" spans="1:18" ht="19.5" customHeight="1">
      <c r="A19" s="927" t="s">
        <v>212</v>
      </c>
      <c r="B19" s="362" t="s">
        <v>213</v>
      </c>
      <c r="C19" s="772">
        <v>310000</v>
      </c>
      <c r="D19" s="773">
        <v>372000</v>
      </c>
      <c r="E19" s="773">
        <v>372000</v>
      </c>
      <c r="F19" s="773">
        <v>387500</v>
      </c>
      <c r="G19" s="774">
        <v>465000</v>
      </c>
      <c r="H19" s="385">
        <v>0.057</v>
      </c>
      <c r="I19" s="365">
        <f>+H19</f>
        <v>0.057</v>
      </c>
      <c r="J19" s="365">
        <f>+H19</f>
        <v>0.057</v>
      </c>
      <c r="K19" s="365">
        <f>+H19</f>
        <v>0.057</v>
      </c>
      <c r="L19" s="386">
        <f>+H19</f>
        <v>0.057</v>
      </c>
      <c r="M19" s="329">
        <f>CEILING(C19*(1+H19),100)</f>
        <v>327700</v>
      </c>
      <c r="N19" s="366">
        <f>+CEILING(C19*(1.2)*(1+I19),100)</f>
        <v>393300</v>
      </c>
      <c r="O19" s="366">
        <f>+CEILING(C19*(1.2)*(1+J19),100)</f>
        <v>393300</v>
      </c>
      <c r="P19" s="366">
        <f>+CEILING(F19*(1+K19),100)</f>
        <v>409600</v>
      </c>
      <c r="Q19" s="367">
        <f>+CEILING(G19*(1+L19),100)</f>
        <v>491600</v>
      </c>
      <c r="R19" s="84"/>
    </row>
    <row r="20" spans="1:18" ht="19.5" customHeight="1">
      <c r="A20" s="928"/>
      <c r="B20" s="395" t="s">
        <v>140</v>
      </c>
      <c r="C20" s="775">
        <v>250000</v>
      </c>
      <c r="D20" s="377"/>
      <c r="E20" s="377"/>
      <c r="F20" s="377"/>
      <c r="G20" s="378"/>
      <c r="H20" s="394">
        <v>0.057</v>
      </c>
      <c r="I20" s="377"/>
      <c r="J20" s="377"/>
      <c r="K20" s="377"/>
      <c r="L20" s="378"/>
      <c r="M20" s="390">
        <f>CEILING(C20*(1+H20),100)</f>
        <v>264300</v>
      </c>
      <c r="N20" s="377"/>
      <c r="O20" s="377"/>
      <c r="P20" s="377"/>
      <c r="Q20" s="378"/>
      <c r="R20" s="84"/>
    </row>
    <row r="21" spans="1:18" ht="19.5" customHeight="1" thickBot="1">
      <c r="A21" s="929"/>
      <c r="B21" s="368" t="s">
        <v>134</v>
      </c>
      <c r="C21" s="369">
        <v>186000</v>
      </c>
      <c r="D21" s="372">
        <v>223200</v>
      </c>
      <c r="E21" s="372">
        <v>223200</v>
      </c>
      <c r="F21" s="372">
        <v>279000</v>
      </c>
      <c r="G21" s="776">
        <v>372000</v>
      </c>
      <c r="H21" s="387">
        <v>0.057</v>
      </c>
      <c r="I21" s="374">
        <f>+H21</f>
        <v>0.057</v>
      </c>
      <c r="J21" s="374">
        <f>+H21</f>
        <v>0.057</v>
      </c>
      <c r="K21" s="374">
        <f>+H21</f>
        <v>0.057</v>
      </c>
      <c r="L21" s="388">
        <f>+H21</f>
        <v>0.057</v>
      </c>
      <c r="M21" s="391">
        <f>CEILING(C21*(1+H21),100)</f>
        <v>196700</v>
      </c>
      <c r="N21" s="375">
        <f>+CEILING(C21*(1.2)*(1+I21),100)</f>
        <v>236000</v>
      </c>
      <c r="O21" s="375">
        <f>+CEILING(C21*(1.2)*(1+J21),100)</f>
        <v>236000</v>
      </c>
      <c r="P21" s="375">
        <f>+CEILING(F21*(1+K21),100)</f>
        <v>295000</v>
      </c>
      <c r="Q21" s="376">
        <f>+CEILING(G21*(1+L21),100)</f>
        <v>393300</v>
      </c>
      <c r="R21" s="84"/>
    </row>
    <row r="22" ht="12.75">
      <c r="D22" s="137"/>
    </row>
    <row r="23" spans="1:8" ht="15.75">
      <c r="A23" s="917" t="s">
        <v>151</v>
      </c>
      <c r="B23" s="917"/>
      <c r="C23" s="917"/>
      <c r="D23" s="917"/>
      <c r="E23" s="917"/>
      <c r="F23" s="917"/>
      <c r="G23" s="17"/>
      <c r="H23" s="17"/>
    </row>
    <row r="24" ht="13.5" thickBot="1"/>
    <row r="25" spans="1:13" ht="16.5" thickBot="1">
      <c r="A25" s="922" t="s">
        <v>135</v>
      </c>
      <c r="B25" s="920" t="s">
        <v>5</v>
      </c>
      <c r="C25" s="910" t="s">
        <v>236</v>
      </c>
      <c r="D25" s="910"/>
      <c r="E25" s="910"/>
      <c r="F25" s="910"/>
      <c r="G25" s="910"/>
      <c r="H25" s="911"/>
      <c r="M25" s="777"/>
    </row>
    <row r="26" spans="1:13" ht="64.5" thickBot="1">
      <c r="A26" s="923"/>
      <c r="B26" s="921"/>
      <c r="C26" s="348" t="s">
        <v>86</v>
      </c>
      <c r="D26" s="91" t="s">
        <v>137</v>
      </c>
      <c r="E26" s="91" t="s">
        <v>138</v>
      </c>
      <c r="F26" s="91" t="s">
        <v>87</v>
      </c>
      <c r="G26" s="344" t="s">
        <v>88</v>
      </c>
      <c r="H26" s="852" t="s">
        <v>133</v>
      </c>
      <c r="M26" s="137"/>
    </row>
    <row r="27" spans="1:13" ht="19.5" customHeight="1" thickBot="1">
      <c r="A27" s="906" t="str">
        <f>+A12</f>
        <v>Jardín Infantil Tortuguita Marina</v>
      </c>
      <c r="B27" s="352" t="str">
        <f>+B12</f>
        <v>Media jornada</v>
      </c>
      <c r="C27" s="349">
        <v>11</v>
      </c>
      <c r="D27" s="235">
        <v>0</v>
      </c>
      <c r="E27" s="235">
        <v>0</v>
      </c>
      <c r="F27" s="235">
        <v>0</v>
      </c>
      <c r="G27" s="345">
        <v>0</v>
      </c>
      <c r="H27" s="355">
        <f>SUM(C27:G27)</f>
        <v>11</v>
      </c>
      <c r="M27" s="518"/>
    </row>
    <row r="28" spans="1:13" ht="19.5" customHeight="1" thickBot="1">
      <c r="A28" s="924"/>
      <c r="B28" s="353" t="str">
        <f>+B13</f>
        <v>Doble Jornada </v>
      </c>
      <c r="C28" s="350">
        <v>15</v>
      </c>
      <c r="D28" s="266">
        <v>0</v>
      </c>
      <c r="E28" s="266">
        <v>0</v>
      </c>
      <c r="F28" s="266">
        <v>0</v>
      </c>
      <c r="G28" s="346">
        <v>0</v>
      </c>
      <c r="H28" s="356">
        <f>SUM(C28:G28)</f>
        <v>15</v>
      </c>
      <c r="I28" s="358">
        <f>SUM(H27:H28)</f>
        <v>26</v>
      </c>
      <c r="M28" s="518"/>
    </row>
    <row r="29" spans="1:9" ht="19.5" customHeight="1" thickBot="1">
      <c r="A29" s="906" t="str">
        <f>+A14</f>
        <v>Jardín Infantil Burbujitas de Mar</v>
      </c>
      <c r="B29" s="352" t="str">
        <f>+B14</f>
        <v>Media jornada</v>
      </c>
      <c r="C29" s="349">
        <v>1</v>
      </c>
      <c r="D29" s="235">
        <v>0</v>
      </c>
      <c r="E29" s="235">
        <v>0</v>
      </c>
      <c r="F29" s="235">
        <v>0</v>
      </c>
      <c r="G29" s="345">
        <v>0</v>
      </c>
      <c r="H29" s="355">
        <f>SUM(C29:G29)</f>
        <v>1</v>
      </c>
      <c r="I29" s="359"/>
    </row>
    <row r="30" spans="1:13" ht="19.5" customHeight="1" thickBot="1">
      <c r="A30" s="908"/>
      <c r="B30" s="354" t="str">
        <f>+B15</f>
        <v>Jornada  Completa</v>
      </c>
      <c r="C30" s="351">
        <v>24</v>
      </c>
      <c r="D30" s="267">
        <v>0</v>
      </c>
      <c r="E30" s="267">
        <v>0</v>
      </c>
      <c r="F30" s="267">
        <v>0</v>
      </c>
      <c r="G30" s="347">
        <v>0</v>
      </c>
      <c r="H30" s="357">
        <f>SUM(C30:G30)</f>
        <v>24</v>
      </c>
      <c r="I30" s="358">
        <f>SUM(H29:H30)</f>
        <v>25</v>
      </c>
      <c r="K30" s="518"/>
      <c r="L30" s="518"/>
      <c r="M30" s="518"/>
    </row>
    <row r="31" spans="2:13" ht="13.5" thickBot="1">
      <c r="B31" s="45"/>
      <c r="K31" s="518"/>
      <c r="L31" s="518"/>
      <c r="M31" s="518"/>
    </row>
    <row r="32" spans="1:8" ht="16.5" thickBot="1">
      <c r="A32" s="918" t="s">
        <v>136</v>
      </c>
      <c r="B32" s="912" t="s">
        <v>5</v>
      </c>
      <c r="C32" s="935" t="s">
        <v>236</v>
      </c>
      <c r="D32" s="910"/>
      <c r="E32" s="910"/>
      <c r="F32" s="910"/>
      <c r="G32" s="910"/>
      <c r="H32" s="936"/>
    </row>
    <row r="33" spans="1:8" ht="64.5" thickBot="1">
      <c r="A33" s="919"/>
      <c r="B33" s="913"/>
      <c r="C33" s="233" t="s">
        <v>86</v>
      </c>
      <c r="D33" s="91" t="s">
        <v>137</v>
      </c>
      <c r="E33" s="91" t="s">
        <v>138</v>
      </c>
      <c r="F33" s="91" t="s">
        <v>87</v>
      </c>
      <c r="G33" s="92" t="s">
        <v>88</v>
      </c>
      <c r="H33" s="234" t="s">
        <v>133</v>
      </c>
    </row>
    <row r="34" spans="1:13" ht="19.5" customHeight="1">
      <c r="A34" s="906" t="str">
        <f>+A19</f>
        <v>Sala Cuna Burbujitas de Mar</v>
      </c>
      <c r="B34" s="237" t="str">
        <f>+B19</f>
        <v>Jornada Completa Diurna</v>
      </c>
      <c r="C34" s="765">
        <v>42</v>
      </c>
      <c r="D34" s="235">
        <v>0</v>
      </c>
      <c r="E34" s="235">
        <v>0</v>
      </c>
      <c r="F34" s="235">
        <v>0</v>
      </c>
      <c r="G34" s="235">
        <v>0</v>
      </c>
      <c r="H34" s="271">
        <f>SUM(C34:G34)</f>
        <v>42</v>
      </c>
      <c r="I34" s="738"/>
      <c r="J34" s="738"/>
      <c r="K34" s="738"/>
      <c r="L34" s="738"/>
      <c r="M34" s="738"/>
    </row>
    <row r="35" spans="1:13" ht="19.5" customHeight="1" thickBot="1">
      <c r="A35" s="907"/>
      <c r="B35" s="238" t="str">
        <f>+B20</f>
        <v>Nocturna</v>
      </c>
      <c r="C35" s="766">
        <v>29</v>
      </c>
      <c r="D35" s="268"/>
      <c r="E35" s="268"/>
      <c r="F35" s="268"/>
      <c r="G35" s="268"/>
      <c r="H35" s="272">
        <f>SUM(C35:G35)</f>
        <v>29</v>
      </c>
      <c r="I35" s="738"/>
      <c r="J35" s="738"/>
      <c r="K35" s="738"/>
      <c r="L35" s="738"/>
      <c r="M35" s="738"/>
    </row>
    <row r="36" spans="1:9" ht="19.5" customHeight="1" thickBot="1">
      <c r="A36" s="908"/>
      <c r="B36" s="239" t="str">
        <f>+B21</f>
        <v>Media Jornada</v>
      </c>
      <c r="C36" s="236">
        <v>0</v>
      </c>
      <c r="D36" s="267">
        <v>0</v>
      </c>
      <c r="E36" s="267">
        <v>0</v>
      </c>
      <c r="F36" s="267">
        <v>0</v>
      </c>
      <c r="G36" s="267">
        <v>0</v>
      </c>
      <c r="H36" s="273">
        <f>SUM(C36:G36)</f>
        <v>0</v>
      </c>
      <c r="I36" s="358">
        <f>H36+H34</f>
        <v>42</v>
      </c>
    </row>
  </sheetData>
  <sheetProtection password="8D26" sheet="1"/>
  <mergeCells count="26">
    <mergeCell ref="H17:L17"/>
    <mergeCell ref="M17:Q17"/>
    <mergeCell ref="A12:A13"/>
    <mergeCell ref="A32:A33"/>
    <mergeCell ref="A14:A15"/>
    <mergeCell ref="A29:A30"/>
    <mergeCell ref="F5:G5"/>
    <mergeCell ref="A19:A21"/>
    <mergeCell ref="M10:Q10"/>
    <mergeCell ref="A23:F23"/>
    <mergeCell ref="H10:L10"/>
    <mergeCell ref="B32:B33"/>
    <mergeCell ref="C32:H32"/>
    <mergeCell ref="A17:A18"/>
    <mergeCell ref="B17:B18"/>
    <mergeCell ref="C17:G17"/>
    <mergeCell ref="A34:A36"/>
    <mergeCell ref="C5:D5"/>
    <mergeCell ref="C25:H25"/>
    <mergeCell ref="B10:B11"/>
    <mergeCell ref="C10:G10"/>
    <mergeCell ref="A8:D8"/>
    <mergeCell ref="A10:A11"/>
    <mergeCell ref="B25:B26"/>
    <mergeCell ref="A25:A26"/>
    <mergeCell ref="A27:A28"/>
  </mergeCells>
  <printOptions/>
  <pageMargins left="0.7" right="0.7" top="0.75" bottom="0.75" header="0.3" footer="0.3"/>
  <pageSetup horizontalDpi="600" verticalDpi="600" orientation="portrait" paperSize="9" r:id="rId2"/>
  <ignoredErrors>
    <ignoredError sqref="K12:L12 I19:L19 I21:L21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R273"/>
  <sheetViews>
    <sheetView showGridLines="0" zoomScale="84" zoomScaleNormal="84" zoomScalePageLayoutView="0" workbookViewId="0" topLeftCell="E55">
      <selection activeCell="H100" sqref="H100"/>
    </sheetView>
  </sheetViews>
  <sheetFormatPr defaultColWidth="11.421875" defaultRowHeight="12.75"/>
  <cols>
    <col min="1" max="1" width="30.28125" style="10" customWidth="1"/>
    <col min="2" max="2" width="21.140625" style="4" customWidth="1"/>
    <col min="3" max="3" width="72.00390625" style="4" customWidth="1"/>
    <col min="4" max="4" width="17.00390625" style="4" customWidth="1"/>
    <col min="5" max="5" width="14.28125" style="4" customWidth="1"/>
    <col min="6" max="6" width="14.421875" style="27" customWidth="1"/>
    <col min="7" max="7" width="14.28125" style="6" customWidth="1"/>
    <col min="8" max="8" width="23.00390625" style="6" customWidth="1"/>
    <col min="9" max="9" width="9.57421875" style="733" customWidth="1"/>
    <col min="10" max="10" width="13.57421875" style="733" customWidth="1"/>
    <col min="11" max="11" width="11.421875" style="733" customWidth="1"/>
    <col min="12" max="12" width="92.00390625" style="4" bestFit="1" customWidth="1"/>
    <col min="13" max="13" width="12.00390625" style="4" bestFit="1" customWidth="1"/>
    <col min="14" max="14" width="12.28125" style="4" customWidth="1"/>
    <col min="15" max="15" width="14.28125" style="4" customWidth="1"/>
    <col min="16" max="16" width="14.140625" style="4" customWidth="1"/>
    <col min="17" max="16384" width="11.421875" style="4" customWidth="1"/>
  </cols>
  <sheetData>
    <row r="1" spans="3:8" ht="12.75">
      <c r="C1" s="44"/>
      <c r="D1" s="44" t="s">
        <v>205</v>
      </c>
      <c r="E1" s="44"/>
      <c r="F1" s="44"/>
      <c r="G1" s="44"/>
      <c r="H1" s="44"/>
    </row>
    <row r="2" spans="3:9" ht="12.75">
      <c r="C2" s="44"/>
      <c r="D2" s="44" t="s">
        <v>216</v>
      </c>
      <c r="E2" s="44"/>
      <c r="F2" s="44"/>
      <c r="G2" s="44"/>
      <c r="H2" s="44"/>
      <c r="I2" s="734"/>
    </row>
    <row r="3" spans="3:9" ht="12.75">
      <c r="C3" s="44"/>
      <c r="E3" s="44"/>
      <c r="F3" s="44"/>
      <c r="G3" s="44"/>
      <c r="H3" s="44"/>
      <c r="I3" s="734"/>
    </row>
    <row r="4" spans="3:9" ht="19.5" customHeight="1">
      <c r="C4" s="98" t="s">
        <v>0</v>
      </c>
      <c r="D4" s="880" t="s">
        <v>152</v>
      </c>
      <c r="E4" s="882"/>
      <c r="F4" s="44"/>
      <c r="G4" s="44"/>
      <c r="H4" s="44"/>
      <c r="I4" s="734"/>
    </row>
    <row r="5" spans="2:9" ht="12.75">
      <c r="B5" s="44"/>
      <c r="C5" s="100"/>
      <c r="D5" s="44"/>
      <c r="E5" s="44"/>
      <c r="F5" s="44"/>
      <c r="G5" s="44"/>
      <c r="H5" s="44"/>
      <c r="I5" s="734"/>
    </row>
    <row r="6" spans="2:9" ht="12.75">
      <c r="B6" s="44"/>
      <c r="C6" s="100"/>
      <c r="D6" s="44"/>
      <c r="E6" s="44"/>
      <c r="F6" s="44"/>
      <c r="G6" s="44"/>
      <c r="H6" s="44"/>
      <c r="I6" s="734"/>
    </row>
    <row r="7" spans="3:9" ht="12.75">
      <c r="C7" s="6"/>
      <c r="I7" s="734"/>
    </row>
    <row r="8" spans="1:9" ht="15.75">
      <c r="A8" s="917" t="s">
        <v>153</v>
      </c>
      <c r="B8" s="917"/>
      <c r="C8" s="917"/>
      <c r="D8" s="100"/>
      <c r="G8" s="4"/>
      <c r="I8" s="735"/>
    </row>
    <row r="9" ht="13.5" thickBot="1">
      <c r="I9" s="734"/>
    </row>
    <row r="10" spans="1:10" ht="12.75" customHeight="1">
      <c r="A10" s="959" t="s">
        <v>114</v>
      </c>
      <c r="B10" s="957" t="s">
        <v>75</v>
      </c>
      <c r="C10" s="948" t="s">
        <v>76</v>
      </c>
      <c r="D10" s="950" t="s">
        <v>77</v>
      </c>
      <c r="E10" s="952" t="s">
        <v>78</v>
      </c>
      <c r="F10" s="952"/>
      <c r="G10" s="952"/>
      <c r="H10" s="967" t="s">
        <v>237</v>
      </c>
      <c r="I10" s="969"/>
      <c r="J10" s="969"/>
    </row>
    <row r="11" spans="1:10" ht="57" customHeight="1" thickBot="1">
      <c r="A11" s="960"/>
      <c r="B11" s="958"/>
      <c r="C11" s="949"/>
      <c r="D11" s="951"/>
      <c r="E11" s="281" t="s">
        <v>67</v>
      </c>
      <c r="F11" s="282" t="s">
        <v>68</v>
      </c>
      <c r="G11" s="283" t="s">
        <v>6</v>
      </c>
      <c r="H11" s="968"/>
      <c r="I11" s="969"/>
      <c r="J11" s="969"/>
    </row>
    <row r="12" spans="1:8" ht="12.75" customHeight="1">
      <c r="A12" s="945" t="str">
        <f>'B) Reajuste Tarifas y Ocupación'!A12:A13</f>
        <v>Jardín Infantil Tortuguita Marina</v>
      </c>
      <c r="B12" s="778"/>
      <c r="C12" s="779" t="s">
        <v>11</v>
      </c>
      <c r="D12" s="780">
        <f>SUM(D13,D18)</f>
        <v>26005712.113500003</v>
      </c>
      <c r="E12" s="781"/>
      <c r="F12" s="781"/>
      <c r="G12" s="782">
        <f>SUM(G13,G18)</f>
        <v>2670933</v>
      </c>
      <c r="H12" s="783">
        <f>SUM(H13,H18)</f>
        <v>28676645.113500003</v>
      </c>
    </row>
    <row r="13" spans="1:8" ht="12.75" customHeight="1">
      <c r="A13" s="946"/>
      <c r="B13" s="784"/>
      <c r="C13" s="785" t="s">
        <v>12</v>
      </c>
      <c r="D13" s="122">
        <f>SUM(D14:D17)</f>
        <v>25597037.792000003</v>
      </c>
      <c r="E13" s="786"/>
      <c r="F13" s="786"/>
      <c r="G13" s="787">
        <f>SUM(G14:G17)</f>
        <v>150000</v>
      </c>
      <c r="H13" s="788">
        <f>SUM(H14:H17)</f>
        <v>25747037.792000003</v>
      </c>
    </row>
    <row r="14" spans="1:8" ht="12.75" customHeight="1">
      <c r="A14" s="946"/>
      <c r="B14" s="789">
        <v>53103040100000</v>
      </c>
      <c r="C14" s="790" t="s">
        <v>95</v>
      </c>
      <c r="D14" s="791">
        <f>+'F) Remuneraciones'!L11</f>
        <v>25397037.792000003</v>
      </c>
      <c r="E14" s="792">
        <v>0</v>
      </c>
      <c r="F14" s="793">
        <v>0</v>
      </c>
      <c r="G14" s="794">
        <f>E14*F14</f>
        <v>0</v>
      </c>
      <c r="H14" s="795">
        <f>D14+G14</f>
        <v>25397037.792000003</v>
      </c>
    </row>
    <row r="15" spans="1:9" ht="12.75" customHeight="1">
      <c r="A15" s="946"/>
      <c r="B15" s="789">
        <v>53103050000000</v>
      </c>
      <c r="C15" s="790" t="s">
        <v>172</v>
      </c>
      <c r="D15" s="848">
        <v>0</v>
      </c>
      <c r="E15" s="284">
        <v>30000</v>
      </c>
      <c r="F15" s="285">
        <v>5</v>
      </c>
      <c r="G15" s="794">
        <f>E15*F15</f>
        <v>150000</v>
      </c>
      <c r="H15" s="795">
        <f>D15+G15</f>
        <v>150000</v>
      </c>
      <c r="I15" s="733" t="s">
        <v>527</v>
      </c>
    </row>
    <row r="16" spans="1:8" ht="12.75" customHeight="1">
      <c r="A16" s="946"/>
      <c r="B16" s="796">
        <v>53103040400000</v>
      </c>
      <c r="C16" s="797" t="s">
        <v>173</v>
      </c>
      <c r="D16" s="848">
        <v>200000</v>
      </c>
      <c r="E16" s="284">
        <v>0</v>
      </c>
      <c r="F16" s="285">
        <v>0</v>
      </c>
      <c r="G16" s="794">
        <f>E16*F16</f>
        <v>0</v>
      </c>
      <c r="H16" s="795">
        <f>D16+G16</f>
        <v>200000</v>
      </c>
    </row>
    <row r="17" spans="1:8" ht="12.75" customHeight="1">
      <c r="A17" s="946"/>
      <c r="B17" s="789">
        <v>53103080010000</v>
      </c>
      <c r="C17" s="790" t="s">
        <v>174</v>
      </c>
      <c r="D17" s="848">
        <v>0</v>
      </c>
      <c r="E17" s="284">
        <v>0</v>
      </c>
      <c r="F17" s="285">
        <v>0</v>
      </c>
      <c r="G17" s="794">
        <f>E17*F17</f>
        <v>0</v>
      </c>
      <c r="H17" s="795">
        <f>D17+G17</f>
        <v>0</v>
      </c>
    </row>
    <row r="18" spans="1:8" ht="12.75" customHeight="1">
      <c r="A18" s="946"/>
      <c r="B18" s="784"/>
      <c r="C18" s="785" t="s">
        <v>16</v>
      </c>
      <c r="D18" s="122">
        <f>SUM(D19:D38)</f>
        <v>408674.3215</v>
      </c>
      <c r="E18" s="786"/>
      <c r="F18" s="786">
        <v>0</v>
      </c>
      <c r="G18" s="122">
        <f>SUM(G19:G38)</f>
        <v>2520933</v>
      </c>
      <c r="H18" s="788">
        <f>SUM(H19:H38)</f>
        <v>2929607.3215</v>
      </c>
    </row>
    <row r="19" spans="1:8" ht="12.75" customHeight="1">
      <c r="A19" s="946"/>
      <c r="B19" s="789">
        <v>53201010100000</v>
      </c>
      <c r="C19" s="798" t="s">
        <v>175</v>
      </c>
      <c r="D19" s="274">
        <v>0</v>
      </c>
      <c r="E19" s="284">
        <v>0</v>
      </c>
      <c r="F19" s="285">
        <v>0</v>
      </c>
      <c r="G19" s="794">
        <f aca="true" t="shared" si="0" ref="G19:G38">E19*F19</f>
        <v>0</v>
      </c>
      <c r="H19" s="795">
        <f aca="true" t="shared" si="1" ref="H19:H38">D19+G19</f>
        <v>0</v>
      </c>
    </row>
    <row r="20" spans="1:8" ht="12.75" customHeight="1">
      <c r="A20" s="946"/>
      <c r="B20" s="789">
        <v>53201010100000</v>
      </c>
      <c r="C20" s="798" t="s">
        <v>176</v>
      </c>
      <c r="D20" s="274">
        <v>0</v>
      </c>
      <c r="E20" s="284">
        <v>0</v>
      </c>
      <c r="F20" s="285">
        <v>0</v>
      </c>
      <c r="G20" s="794">
        <f t="shared" si="0"/>
        <v>0</v>
      </c>
      <c r="H20" s="795">
        <f t="shared" si="1"/>
        <v>0</v>
      </c>
    </row>
    <row r="21" spans="1:8" ht="12.75" customHeight="1">
      <c r="A21" s="946"/>
      <c r="B21" s="789">
        <v>53201010100000</v>
      </c>
      <c r="C21" s="798" t="s">
        <v>177</v>
      </c>
      <c r="D21" s="274">
        <v>0</v>
      </c>
      <c r="E21" s="284">
        <v>0</v>
      </c>
      <c r="F21" s="275">
        <v>0</v>
      </c>
      <c r="G21" s="794">
        <f t="shared" si="0"/>
        <v>0</v>
      </c>
      <c r="H21" s="795">
        <f t="shared" si="1"/>
        <v>0</v>
      </c>
    </row>
    <row r="22" spans="1:8" ht="12.75" customHeight="1">
      <c r="A22" s="946"/>
      <c r="B22" s="789">
        <v>53202010100000</v>
      </c>
      <c r="C22" s="790" t="s">
        <v>178</v>
      </c>
      <c r="D22" s="276">
        <v>0</v>
      </c>
      <c r="E22" s="276">
        <v>0</v>
      </c>
      <c r="F22" s="277">
        <v>0</v>
      </c>
      <c r="G22" s="794">
        <f t="shared" si="0"/>
        <v>0</v>
      </c>
      <c r="H22" s="795">
        <f t="shared" si="1"/>
        <v>0</v>
      </c>
    </row>
    <row r="23" spans="1:8" ht="12.75" customHeight="1">
      <c r="A23" s="946"/>
      <c r="B23" s="789">
        <v>53203010100000</v>
      </c>
      <c r="C23" s="790" t="s">
        <v>19</v>
      </c>
      <c r="D23" s="278">
        <v>48674.3215</v>
      </c>
      <c r="E23" s="278">
        <v>0</v>
      </c>
      <c r="F23" s="279">
        <v>0</v>
      </c>
      <c r="G23" s="794">
        <f t="shared" si="0"/>
        <v>0</v>
      </c>
      <c r="H23" s="795">
        <f t="shared" si="1"/>
        <v>48674.3215</v>
      </c>
    </row>
    <row r="24" spans="1:8" ht="12.75" customHeight="1">
      <c r="A24" s="946"/>
      <c r="B24" s="789">
        <v>53203030000000</v>
      </c>
      <c r="C24" s="790" t="s">
        <v>179</v>
      </c>
      <c r="D24" s="278">
        <v>0</v>
      </c>
      <c r="E24" s="278">
        <v>0</v>
      </c>
      <c r="F24" s="279">
        <v>0</v>
      </c>
      <c r="G24" s="794">
        <f t="shared" si="0"/>
        <v>0</v>
      </c>
      <c r="H24" s="795">
        <f t="shared" si="1"/>
        <v>0</v>
      </c>
    </row>
    <row r="25" spans="1:8" ht="12.75" customHeight="1">
      <c r="A25" s="946"/>
      <c r="B25" s="789">
        <v>53204030000000</v>
      </c>
      <c r="C25" s="790" t="s">
        <v>222</v>
      </c>
      <c r="D25" s="278">
        <v>0</v>
      </c>
      <c r="E25" s="278">
        <v>5250</v>
      </c>
      <c r="F25" s="279">
        <v>4</v>
      </c>
      <c r="G25" s="794">
        <f t="shared" si="0"/>
        <v>21000</v>
      </c>
      <c r="H25" s="795">
        <f>D25+G25</f>
        <v>21000</v>
      </c>
    </row>
    <row r="26" spans="1:8" ht="12.75" customHeight="1">
      <c r="A26" s="946"/>
      <c r="B26" s="789">
        <v>53204100100001</v>
      </c>
      <c r="C26" s="790" t="s">
        <v>22</v>
      </c>
      <c r="D26" s="278">
        <v>300000</v>
      </c>
      <c r="E26" s="278">
        <v>0</v>
      </c>
      <c r="F26" s="279">
        <v>0</v>
      </c>
      <c r="G26" s="794">
        <f t="shared" si="0"/>
        <v>0</v>
      </c>
      <c r="H26" s="795">
        <f t="shared" si="1"/>
        <v>300000</v>
      </c>
    </row>
    <row r="27" spans="1:8" ht="12.75" customHeight="1">
      <c r="A27" s="946"/>
      <c r="B27" s="789">
        <v>53204130100000</v>
      </c>
      <c r="C27" s="790" t="s">
        <v>181</v>
      </c>
      <c r="D27" s="278">
        <v>0</v>
      </c>
      <c r="E27" s="278">
        <v>0</v>
      </c>
      <c r="F27" s="279">
        <v>0</v>
      </c>
      <c r="G27" s="794">
        <f t="shared" si="0"/>
        <v>0</v>
      </c>
      <c r="H27" s="795">
        <f t="shared" si="1"/>
        <v>0</v>
      </c>
    </row>
    <row r="28" spans="1:8" ht="12.75" customHeight="1">
      <c r="A28" s="946"/>
      <c r="B28" s="789">
        <v>53205010100000</v>
      </c>
      <c r="C28" s="790" t="s">
        <v>24</v>
      </c>
      <c r="D28" s="278">
        <v>0</v>
      </c>
      <c r="E28" s="278">
        <v>161</v>
      </c>
      <c r="F28" s="279">
        <v>1386</v>
      </c>
      <c r="G28" s="794">
        <f t="shared" si="0"/>
        <v>223146</v>
      </c>
      <c r="H28" s="795">
        <f t="shared" si="1"/>
        <v>223146</v>
      </c>
    </row>
    <row r="29" spans="1:8" ht="12.75" customHeight="1">
      <c r="A29" s="946"/>
      <c r="B29" s="789">
        <v>53205020100000</v>
      </c>
      <c r="C29" s="790" t="s">
        <v>25</v>
      </c>
      <c r="D29" s="278">
        <v>0</v>
      </c>
      <c r="E29" s="278">
        <v>3171</v>
      </c>
      <c r="F29" s="279">
        <v>35</v>
      </c>
      <c r="G29" s="794">
        <f t="shared" si="0"/>
        <v>110985</v>
      </c>
      <c r="H29" s="795">
        <f t="shared" si="1"/>
        <v>110985</v>
      </c>
    </row>
    <row r="30" spans="1:8" ht="12.75" customHeight="1">
      <c r="A30" s="946"/>
      <c r="B30" s="789">
        <v>53205030100000</v>
      </c>
      <c r="C30" s="790" t="s">
        <v>26</v>
      </c>
      <c r="D30" s="278">
        <v>0</v>
      </c>
      <c r="E30" s="278">
        <v>53907</v>
      </c>
      <c r="F30" s="279">
        <v>26</v>
      </c>
      <c r="G30" s="794">
        <f t="shared" si="0"/>
        <v>1401582</v>
      </c>
      <c r="H30" s="795">
        <f t="shared" si="1"/>
        <v>1401582</v>
      </c>
    </row>
    <row r="31" spans="1:8" ht="12.75" customHeight="1">
      <c r="A31" s="946"/>
      <c r="B31" s="789">
        <v>53205050100000</v>
      </c>
      <c r="C31" s="790" t="s">
        <v>27</v>
      </c>
      <c r="D31" s="278">
        <v>0</v>
      </c>
      <c r="E31" s="278">
        <v>0</v>
      </c>
      <c r="F31" s="279">
        <v>0</v>
      </c>
      <c r="G31" s="794">
        <f t="shared" si="0"/>
        <v>0</v>
      </c>
      <c r="H31" s="795">
        <f t="shared" si="1"/>
        <v>0</v>
      </c>
    </row>
    <row r="32" spans="1:8" ht="12.75" customHeight="1">
      <c r="A32" s="946"/>
      <c r="B32" s="789">
        <v>53205070100000</v>
      </c>
      <c r="C32" s="790" t="s">
        <v>29</v>
      </c>
      <c r="D32" s="278">
        <v>0</v>
      </c>
      <c r="E32" s="278">
        <v>22197</v>
      </c>
      <c r="F32" s="279">
        <v>12</v>
      </c>
      <c r="G32" s="794">
        <f t="shared" si="0"/>
        <v>266364</v>
      </c>
      <c r="H32" s="795">
        <f t="shared" si="1"/>
        <v>266364</v>
      </c>
    </row>
    <row r="33" spans="1:8" ht="12.75" customHeight="1">
      <c r="A33" s="946"/>
      <c r="B33" s="789">
        <v>53208010100000</v>
      </c>
      <c r="C33" s="790" t="s">
        <v>30</v>
      </c>
      <c r="D33" s="278"/>
      <c r="E33" s="278">
        <v>0</v>
      </c>
      <c r="F33" s="279">
        <v>0</v>
      </c>
      <c r="G33" s="794">
        <f t="shared" si="0"/>
        <v>0</v>
      </c>
      <c r="H33" s="795">
        <f t="shared" si="1"/>
        <v>0</v>
      </c>
    </row>
    <row r="34" spans="1:8" ht="12.75" customHeight="1">
      <c r="A34" s="946"/>
      <c r="B34" s="789">
        <v>53208070100001</v>
      </c>
      <c r="C34" s="790" t="s">
        <v>31</v>
      </c>
      <c r="D34" s="280">
        <v>0</v>
      </c>
      <c r="E34" s="280">
        <v>0</v>
      </c>
      <c r="F34" s="277">
        <v>0</v>
      </c>
      <c r="G34" s="794">
        <f t="shared" si="0"/>
        <v>0</v>
      </c>
      <c r="H34" s="795">
        <f t="shared" si="1"/>
        <v>0</v>
      </c>
    </row>
    <row r="35" spans="1:8" ht="12.75" customHeight="1">
      <c r="A35" s="946"/>
      <c r="B35" s="789">
        <v>53208100100001</v>
      </c>
      <c r="C35" s="790" t="s">
        <v>182</v>
      </c>
      <c r="D35" s="278">
        <v>0</v>
      </c>
      <c r="E35" s="278">
        <v>0</v>
      </c>
      <c r="F35" s="279">
        <v>0</v>
      </c>
      <c r="G35" s="794">
        <f t="shared" si="0"/>
        <v>0</v>
      </c>
      <c r="H35" s="795">
        <f t="shared" si="1"/>
        <v>0</v>
      </c>
    </row>
    <row r="36" spans="1:8" ht="12.75" customHeight="1">
      <c r="A36" s="946"/>
      <c r="B36" s="789">
        <v>53211030000000</v>
      </c>
      <c r="C36" s="790" t="s">
        <v>32</v>
      </c>
      <c r="D36" s="278">
        <v>0</v>
      </c>
      <c r="E36" s="278">
        <v>0</v>
      </c>
      <c r="F36" s="279">
        <v>0</v>
      </c>
      <c r="G36" s="794">
        <f t="shared" si="0"/>
        <v>0</v>
      </c>
      <c r="H36" s="795">
        <f t="shared" si="1"/>
        <v>0</v>
      </c>
    </row>
    <row r="37" spans="1:9" ht="12.75" customHeight="1">
      <c r="A37" s="946"/>
      <c r="B37" s="789">
        <v>53212020100000</v>
      </c>
      <c r="C37" s="790" t="s">
        <v>183</v>
      </c>
      <c r="D37" s="278"/>
      <c r="E37" s="278">
        <v>41488</v>
      </c>
      <c r="F37" s="279">
        <v>12</v>
      </c>
      <c r="G37" s="794">
        <f t="shared" si="0"/>
        <v>497856</v>
      </c>
      <c r="H37" s="795">
        <f t="shared" si="1"/>
        <v>497856</v>
      </c>
      <c r="I37" s="733" t="s">
        <v>531</v>
      </c>
    </row>
    <row r="38" spans="1:8" ht="12.75" customHeight="1">
      <c r="A38" s="946"/>
      <c r="B38" s="789">
        <v>53214020000000</v>
      </c>
      <c r="C38" s="790" t="s">
        <v>184</v>
      </c>
      <c r="D38" s="280">
        <v>60000</v>
      </c>
      <c r="E38" s="280">
        <v>0</v>
      </c>
      <c r="F38" s="277">
        <v>0</v>
      </c>
      <c r="G38" s="794">
        <f t="shared" si="0"/>
        <v>0</v>
      </c>
      <c r="H38" s="795">
        <f t="shared" si="1"/>
        <v>60000</v>
      </c>
    </row>
    <row r="39" spans="1:8" ht="12.75" customHeight="1">
      <c r="A39" s="946"/>
      <c r="B39" s="799"/>
      <c r="C39" s="800" t="s">
        <v>34</v>
      </c>
      <c r="D39" s="121">
        <f>+D40+D45+D47+D56+D65+D73</f>
        <v>4787591.432</v>
      </c>
      <c r="E39" s="801"/>
      <c r="F39" s="801"/>
      <c r="G39" s="121">
        <f>+G40+G45+G47+G56+G65+G73</f>
        <v>1065924</v>
      </c>
      <c r="H39" s="802">
        <f>+H40+H45+H47+H56+H65+H73</f>
        <v>5853515.432</v>
      </c>
    </row>
    <row r="40" spans="1:8" ht="12.75" customHeight="1">
      <c r="A40" s="946"/>
      <c r="B40" s="784"/>
      <c r="C40" s="785" t="s">
        <v>35</v>
      </c>
      <c r="D40" s="122">
        <f>SUM(D41:D44)</f>
        <v>0</v>
      </c>
      <c r="E40" s="803"/>
      <c r="F40" s="803"/>
      <c r="G40" s="804">
        <f>SUM(G41:G44)</f>
        <v>180000</v>
      </c>
      <c r="H40" s="805">
        <f>SUM(H41:H44)</f>
        <v>180000</v>
      </c>
    </row>
    <row r="41" spans="1:8" ht="12.75" customHeight="1">
      <c r="A41" s="946"/>
      <c r="B41" s="789">
        <v>53202020100000</v>
      </c>
      <c r="C41" s="790" t="s">
        <v>185</v>
      </c>
      <c r="D41" s="848">
        <v>0</v>
      </c>
      <c r="E41" s="284">
        <v>40000</v>
      </c>
      <c r="F41" s="286">
        <v>4</v>
      </c>
      <c r="G41" s="794">
        <f>E41*F41</f>
        <v>160000</v>
      </c>
      <c r="H41" s="795">
        <f aca="true" t="shared" si="2" ref="H41:H74">D41+G41</f>
        <v>160000</v>
      </c>
    </row>
    <row r="42" spans="1:8" ht="12.75" customHeight="1">
      <c r="A42" s="946"/>
      <c r="B42" s="789">
        <v>53202030000000</v>
      </c>
      <c r="C42" s="790" t="s">
        <v>186</v>
      </c>
      <c r="D42" s="848">
        <v>0</v>
      </c>
      <c r="E42" s="284">
        <v>20000</v>
      </c>
      <c r="F42" s="275">
        <v>1</v>
      </c>
      <c r="G42" s="794">
        <f aca="true" t="shared" si="3" ref="G42:G74">E42*F42</f>
        <v>20000</v>
      </c>
      <c r="H42" s="795">
        <f t="shared" si="2"/>
        <v>20000</v>
      </c>
    </row>
    <row r="43" spans="1:8" ht="12.75" customHeight="1">
      <c r="A43" s="946"/>
      <c r="B43" s="789">
        <v>53211020000000</v>
      </c>
      <c r="C43" s="790" t="s">
        <v>41</v>
      </c>
      <c r="D43" s="278">
        <v>0</v>
      </c>
      <c r="E43" s="278">
        <v>0</v>
      </c>
      <c r="F43" s="279">
        <v>0</v>
      </c>
      <c r="G43" s="794">
        <f t="shared" si="3"/>
        <v>0</v>
      </c>
      <c r="H43" s="795">
        <f t="shared" si="2"/>
        <v>0</v>
      </c>
    </row>
    <row r="44" spans="1:8" ht="12.75" customHeight="1">
      <c r="A44" s="946"/>
      <c r="B44" s="789">
        <v>53101040600000</v>
      </c>
      <c r="C44" s="790" t="s">
        <v>187</v>
      </c>
      <c r="D44" s="278">
        <v>0</v>
      </c>
      <c r="E44" s="278">
        <v>0</v>
      </c>
      <c r="F44" s="279">
        <v>0</v>
      </c>
      <c r="G44" s="794">
        <f t="shared" si="3"/>
        <v>0</v>
      </c>
      <c r="H44" s="795">
        <f t="shared" si="2"/>
        <v>0</v>
      </c>
    </row>
    <row r="45" spans="1:8" ht="12.75" customHeight="1">
      <c r="A45" s="946"/>
      <c r="B45" s="784"/>
      <c r="C45" s="785" t="s">
        <v>42</v>
      </c>
      <c r="D45" s="122">
        <f>SUM(D46)</f>
        <v>0</v>
      </c>
      <c r="E45" s="803"/>
      <c r="F45" s="806"/>
      <c r="G45" s="804">
        <f>SUM(G46:G46)</f>
        <v>0</v>
      </c>
      <c r="H45" s="805">
        <f>SUM(H46:H46)</f>
        <v>0</v>
      </c>
    </row>
    <row r="46" spans="1:8" ht="12.75" customHeight="1">
      <c r="A46" s="946"/>
      <c r="B46" s="807">
        <v>53205990000000</v>
      </c>
      <c r="C46" s="790" t="s">
        <v>44</v>
      </c>
      <c r="D46" s="278">
        <v>0</v>
      </c>
      <c r="E46" s="278">
        <v>0</v>
      </c>
      <c r="F46" s="279">
        <v>0</v>
      </c>
      <c r="G46" s="794">
        <f t="shared" si="3"/>
        <v>0</v>
      </c>
      <c r="H46" s="795">
        <f t="shared" si="2"/>
        <v>0</v>
      </c>
    </row>
    <row r="47" spans="1:8" ht="12.75" customHeight="1">
      <c r="A47" s="946"/>
      <c r="B47" s="784"/>
      <c r="C47" s="785" t="s">
        <v>45</v>
      </c>
      <c r="D47" s="122">
        <f>SUM(D48:D55)</f>
        <v>2220000</v>
      </c>
      <c r="E47" s="803"/>
      <c r="F47" s="806"/>
      <c r="G47" s="122">
        <f>SUM(G48:G55)</f>
        <v>0</v>
      </c>
      <c r="H47" s="788">
        <f>SUM(H48:H55)</f>
        <v>2220000</v>
      </c>
    </row>
    <row r="48" spans="1:8" ht="12.75" customHeight="1">
      <c r="A48" s="946"/>
      <c r="B48" s="789">
        <v>53204010000000</v>
      </c>
      <c r="C48" s="790" t="s">
        <v>47</v>
      </c>
      <c r="D48" s="278">
        <v>200000</v>
      </c>
      <c r="E48" s="278">
        <v>0</v>
      </c>
      <c r="F48" s="279">
        <v>0</v>
      </c>
      <c r="G48" s="794">
        <f t="shared" si="3"/>
        <v>0</v>
      </c>
      <c r="H48" s="795">
        <f t="shared" si="2"/>
        <v>200000</v>
      </c>
    </row>
    <row r="49" spans="1:8" ht="12.75" customHeight="1">
      <c r="A49" s="946"/>
      <c r="B49" s="807">
        <v>53204040200000</v>
      </c>
      <c r="C49" s="790" t="s">
        <v>223</v>
      </c>
      <c r="D49" s="278">
        <v>100000</v>
      </c>
      <c r="E49" s="278">
        <v>0</v>
      </c>
      <c r="F49" s="279">
        <v>0</v>
      </c>
      <c r="G49" s="794">
        <f t="shared" si="3"/>
        <v>0</v>
      </c>
      <c r="H49" s="795">
        <f t="shared" si="2"/>
        <v>100000</v>
      </c>
    </row>
    <row r="50" spans="1:8" ht="12.75" customHeight="1">
      <c r="A50" s="946"/>
      <c r="B50" s="789">
        <v>53204060000000</v>
      </c>
      <c r="C50" s="790" t="s">
        <v>49</v>
      </c>
      <c r="D50" s="278">
        <v>0</v>
      </c>
      <c r="E50" s="278">
        <v>0</v>
      </c>
      <c r="F50" s="279">
        <v>0</v>
      </c>
      <c r="G50" s="794">
        <f t="shared" si="3"/>
        <v>0</v>
      </c>
      <c r="H50" s="795">
        <f t="shared" si="2"/>
        <v>0</v>
      </c>
    </row>
    <row r="51" spans="1:8" ht="12.75" customHeight="1">
      <c r="A51" s="946"/>
      <c r="B51" s="789">
        <v>53204070000000</v>
      </c>
      <c r="C51" s="790" t="s">
        <v>50</v>
      </c>
      <c r="D51" s="278">
        <v>1500000</v>
      </c>
      <c r="E51" s="278">
        <v>0</v>
      </c>
      <c r="F51" s="279">
        <v>0</v>
      </c>
      <c r="G51" s="794">
        <f t="shared" si="3"/>
        <v>0</v>
      </c>
      <c r="H51" s="795">
        <f t="shared" si="2"/>
        <v>1500000</v>
      </c>
    </row>
    <row r="52" spans="1:8" ht="12.75" customHeight="1">
      <c r="A52" s="946"/>
      <c r="B52" s="789">
        <v>53204080000000</v>
      </c>
      <c r="C52" s="790" t="s">
        <v>51</v>
      </c>
      <c r="D52" s="278">
        <v>0</v>
      </c>
      <c r="E52" s="278">
        <v>0</v>
      </c>
      <c r="F52" s="279">
        <v>0</v>
      </c>
      <c r="G52" s="794">
        <f t="shared" si="3"/>
        <v>0</v>
      </c>
      <c r="H52" s="795">
        <f t="shared" si="2"/>
        <v>0</v>
      </c>
    </row>
    <row r="53" spans="1:8" ht="12.75" customHeight="1">
      <c r="A53" s="946"/>
      <c r="B53" s="789">
        <v>53214010000000</v>
      </c>
      <c r="C53" s="790" t="s">
        <v>52</v>
      </c>
      <c r="D53" s="280">
        <v>70000</v>
      </c>
      <c r="E53" s="280">
        <v>0</v>
      </c>
      <c r="F53" s="277">
        <v>0</v>
      </c>
      <c r="G53" s="794">
        <f t="shared" si="3"/>
        <v>0</v>
      </c>
      <c r="H53" s="795">
        <f t="shared" si="2"/>
        <v>70000</v>
      </c>
    </row>
    <row r="54" spans="1:8" ht="12.75" customHeight="1">
      <c r="A54" s="946"/>
      <c r="B54" s="789">
        <v>53214040000000</v>
      </c>
      <c r="C54" s="790" t="s">
        <v>188</v>
      </c>
      <c r="D54" s="280">
        <v>0</v>
      </c>
      <c r="E54" s="280">
        <v>0</v>
      </c>
      <c r="F54" s="277">
        <v>0</v>
      </c>
      <c r="G54" s="794">
        <f t="shared" si="3"/>
        <v>0</v>
      </c>
      <c r="H54" s="795">
        <f t="shared" si="2"/>
        <v>0</v>
      </c>
    </row>
    <row r="55" spans="1:8" ht="12.75" customHeight="1">
      <c r="A55" s="946"/>
      <c r="B55" s="796">
        <v>53204020100000</v>
      </c>
      <c r="C55" s="790" t="s">
        <v>180</v>
      </c>
      <c r="D55" s="278">
        <v>350000</v>
      </c>
      <c r="E55" s="278">
        <v>0</v>
      </c>
      <c r="F55" s="279">
        <v>0</v>
      </c>
      <c r="G55" s="794">
        <f t="shared" si="3"/>
        <v>0</v>
      </c>
      <c r="H55" s="795">
        <f t="shared" si="2"/>
        <v>350000</v>
      </c>
    </row>
    <row r="56" spans="1:8" ht="12.75" customHeight="1">
      <c r="A56" s="946"/>
      <c r="B56" s="784"/>
      <c r="C56" s="785" t="s">
        <v>55</v>
      </c>
      <c r="D56" s="122">
        <f>SUM(D57:D64)</f>
        <v>797038.432</v>
      </c>
      <c r="E56" s="803"/>
      <c r="F56" s="806"/>
      <c r="G56" s="122">
        <f>SUM(G57:G64)</f>
        <v>495924</v>
      </c>
      <c r="H56" s="788">
        <f>SUM(H57:H64)</f>
        <v>1292962.432</v>
      </c>
    </row>
    <row r="57" spans="1:8" ht="12.75" customHeight="1">
      <c r="A57" s="946"/>
      <c r="B57" s="789">
        <v>53207010000000</v>
      </c>
      <c r="C57" s="790" t="s">
        <v>56</v>
      </c>
      <c r="D57" s="278">
        <v>0</v>
      </c>
      <c r="E57" s="278">
        <v>0</v>
      </c>
      <c r="F57" s="279">
        <v>0</v>
      </c>
      <c r="G57" s="794">
        <f t="shared" si="3"/>
        <v>0</v>
      </c>
      <c r="H57" s="795">
        <f t="shared" si="2"/>
        <v>0</v>
      </c>
    </row>
    <row r="58" spans="1:8" ht="12.75" customHeight="1">
      <c r="A58" s="946"/>
      <c r="B58" s="789">
        <v>53207020000000</v>
      </c>
      <c r="C58" s="790" t="s">
        <v>57</v>
      </c>
      <c r="D58" s="278">
        <v>0</v>
      </c>
      <c r="E58" s="278">
        <v>0</v>
      </c>
      <c r="F58" s="279">
        <v>0</v>
      </c>
      <c r="G58" s="794">
        <f t="shared" si="3"/>
        <v>0</v>
      </c>
      <c r="H58" s="795">
        <f t="shared" si="2"/>
        <v>0</v>
      </c>
    </row>
    <row r="59" spans="1:8" ht="12.75" customHeight="1">
      <c r="A59" s="946"/>
      <c r="B59" s="789">
        <v>53208020000000</v>
      </c>
      <c r="C59" s="790" t="s">
        <v>171</v>
      </c>
      <c r="D59" s="278">
        <v>0</v>
      </c>
      <c r="E59" s="278">
        <v>0</v>
      </c>
      <c r="F59" s="279">
        <v>0</v>
      </c>
      <c r="G59" s="794">
        <f t="shared" si="3"/>
        <v>0</v>
      </c>
      <c r="H59" s="795">
        <f t="shared" si="2"/>
        <v>0</v>
      </c>
    </row>
    <row r="60" spans="1:8" ht="12.75" customHeight="1">
      <c r="A60" s="946"/>
      <c r="B60" s="789">
        <v>53208990000000</v>
      </c>
      <c r="C60" s="790" t="s">
        <v>189</v>
      </c>
      <c r="D60" s="278">
        <v>0</v>
      </c>
      <c r="E60" s="278">
        <v>99788</v>
      </c>
      <c r="F60" s="279">
        <v>3</v>
      </c>
      <c r="G60" s="794">
        <f t="shared" si="3"/>
        <v>299364</v>
      </c>
      <c r="H60" s="795">
        <f t="shared" si="2"/>
        <v>299364</v>
      </c>
    </row>
    <row r="61" spans="1:8" ht="12.75" customHeight="1">
      <c r="A61" s="946"/>
      <c r="B61" s="796">
        <v>53210020300000</v>
      </c>
      <c r="C61" s="790" t="s">
        <v>191</v>
      </c>
      <c r="D61" s="403">
        <v>0</v>
      </c>
      <c r="E61" s="403">
        <v>7560</v>
      </c>
      <c r="F61" s="402">
        <f>+'B) Reajuste Tarifas y Ocupación'!I28</f>
        <v>26</v>
      </c>
      <c r="G61" s="794">
        <f t="shared" si="3"/>
        <v>196560</v>
      </c>
      <c r="H61" s="795">
        <f t="shared" si="2"/>
        <v>196560</v>
      </c>
    </row>
    <row r="62" spans="1:8" ht="12.75" customHeight="1">
      <c r="A62" s="946"/>
      <c r="B62" s="789">
        <v>53208990000000</v>
      </c>
      <c r="C62" s="790" t="s">
        <v>192</v>
      </c>
      <c r="D62" s="278">
        <v>0</v>
      </c>
      <c r="E62" s="278">
        <v>0</v>
      </c>
      <c r="F62" s="279">
        <v>0</v>
      </c>
      <c r="G62" s="794">
        <f t="shared" si="3"/>
        <v>0</v>
      </c>
      <c r="H62" s="795">
        <f t="shared" si="2"/>
        <v>0</v>
      </c>
    </row>
    <row r="63" spans="1:8" ht="12.75" customHeight="1">
      <c r="A63" s="946"/>
      <c r="B63" s="789">
        <v>53209990000000</v>
      </c>
      <c r="C63" s="790" t="s">
        <v>190</v>
      </c>
      <c r="D63" s="278">
        <v>0</v>
      </c>
      <c r="E63" s="278">
        <v>0</v>
      </c>
      <c r="F63" s="279">
        <v>0</v>
      </c>
      <c r="G63" s="794">
        <f t="shared" si="3"/>
        <v>0</v>
      </c>
      <c r="H63" s="795">
        <f t="shared" si="2"/>
        <v>0</v>
      </c>
    </row>
    <row r="64" spans="1:8" ht="12.75" customHeight="1">
      <c r="A64" s="946"/>
      <c r="B64" s="789">
        <v>53210020100000</v>
      </c>
      <c r="C64" s="790" t="s">
        <v>64</v>
      </c>
      <c r="D64" s="278">
        <v>797038.432</v>
      </c>
      <c r="E64" s="278">
        <v>0</v>
      </c>
      <c r="F64" s="279">
        <v>0</v>
      </c>
      <c r="G64" s="794">
        <f t="shared" si="3"/>
        <v>0</v>
      </c>
      <c r="H64" s="795">
        <f t="shared" si="2"/>
        <v>797038.432</v>
      </c>
    </row>
    <row r="65" spans="1:8" ht="12.75" customHeight="1">
      <c r="A65" s="946"/>
      <c r="B65" s="784"/>
      <c r="C65" s="785" t="s">
        <v>65</v>
      </c>
      <c r="D65" s="122">
        <f>SUM(D66:D72)</f>
        <v>1770553</v>
      </c>
      <c r="E65" s="803"/>
      <c r="F65" s="806"/>
      <c r="G65" s="122">
        <f>SUM(G66:G72)</f>
        <v>0</v>
      </c>
      <c r="H65" s="788">
        <f>SUM(H66:H72)</f>
        <v>1770553</v>
      </c>
    </row>
    <row r="66" spans="1:8" ht="12.75" customHeight="1">
      <c r="A66" s="946"/>
      <c r="B66" s="789">
        <v>53206030000000</v>
      </c>
      <c r="C66" s="790" t="s">
        <v>99</v>
      </c>
      <c r="D66" s="278">
        <v>0</v>
      </c>
      <c r="E66" s="278">
        <v>0</v>
      </c>
      <c r="F66" s="279">
        <v>0</v>
      </c>
      <c r="G66" s="794">
        <f t="shared" si="3"/>
        <v>0</v>
      </c>
      <c r="H66" s="795">
        <f t="shared" si="2"/>
        <v>0</v>
      </c>
    </row>
    <row r="67" spans="1:8" ht="12.75" customHeight="1">
      <c r="A67" s="946"/>
      <c r="B67" s="789">
        <v>53206040000000</v>
      </c>
      <c r="C67" s="790" t="s">
        <v>100</v>
      </c>
      <c r="D67" s="278">
        <v>0</v>
      </c>
      <c r="E67" s="278">
        <v>0</v>
      </c>
      <c r="F67" s="279">
        <v>0</v>
      </c>
      <c r="G67" s="794">
        <f t="shared" si="3"/>
        <v>0</v>
      </c>
      <c r="H67" s="795">
        <f t="shared" si="2"/>
        <v>0</v>
      </c>
    </row>
    <row r="68" spans="1:8" ht="12.75" customHeight="1">
      <c r="A68" s="946"/>
      <c r="B68" s="789">
        <v>53206060000000</v>
      </c>
      <c r="C68" s="790" t="s">
        <v>193</v>
      </c>
      <c r="D68" s="278">
        <v>250000</v>
      </c>
      <c r="E68" s="278">
        <v>0</v>
      </c>
      <c r="F68" s="279">
        <v>0</v>
      </c>
      <c r="G68" s="794">
        <f t="shared" si="3"/>
        <v>0</v>
      </c>
      <c r="H68" s="795">
        <f t="shared" si="2"/>
        <v>250000</v>
      </c>
    </row>
    <row r="69" spans="1:8" ht="12.75" customHeight="1">
      <c r="A69" s="946"/>
      <c r="B69" s="789">
        <v>53206070000000</v>
      </c>
      <c r="C69" s="790" t="s">
        <v>102</v>
      </c>
      <c r="D69" s="278">
        <v>0</v>
      </c>
      <c r="E69" s="278">
        <v>0</v>
      </c>
      <c r="F69" s="279">
        <v>0</v>
      </c>
      <c r="G69" s="794">
        <f t="shared" si="3"/>
        <v>0</v>
      </c>
      <c r="H69" s="795">
        <f t="shared" si="2"/>
        <v>0</v>
      </c>
    </row>
    <row r="70" spans="1:8" ht="12.75" customHeight="1">
      <c r="A70" s="946"/>
      <c r="B70" s="789">
        <v>53206990000000</v>
      </c>
      <c r="C70" s="790" t="s">
        <v>194</v>
      </c>
      <c r="D70" s="278">
        <v>0</v>
      </c>
      <c r="E70" s="278">
        <v>0</v>
      </c>
      <c r="F70" s="279">
        <v>0</v>
      </c>
      <c r="G70" s="794">
        <f t="shared" si="3"/>
        <v>0</v>
      </c>
      <c r="H70" s="795">
        <f t="shared" si="2"/>
        <v>0</v>
      </c>
    </row>
    <row r="71" spans="1:8" ht="12.75" customHeight="1">
      <c r="A71" s="946"/>
      <c r="B71" s="789">
        <v>53208030000000</v>
      </c>
      <c r="C71" s="790" t="s">
        <v>104</v>
      </c>
      <c r="D71" s="278">
        <v>0</v>
      </c>
      <c r="E71" s="278">
        <v>0</v>
      </c>
      <c r="F71" s="279">
        <v>0</v>
      </c>
      <c r="G71" s="794">
        <f t="shared" si="3"/>
        <v>0</v>
      </c>
      <c r="H71" s="795">
        <f t="shared" si="2"/>
        <v>0</v>
      </c>
    </row>
    <row r="72" spans="1:8" ht="12.75" customHeight="1">
      <c r="A72" s="946"/>
      <c r="B72" s="789">
        <v>53206990000000</v>
      </c>
      <c r="C72" s="790" t="s">
        <v>224</v>
      </c>
      <c r="D72" s="278">
        <v>1520553</v>
      </c>
      <c r="E72" s="278">
        <v>0</v>
      </c>
      <c r="F72" s="279">
        <v>0</v>
      </c>
      <c r="G72" s="794">
        <f t="shared" si="3"/>
        <v>0</v>
      </c>
      <c r="H72" s="795">
        <f t="shared" si="2"/>
        <v>1520553</v>
      </c>
    </row>
    <row r="73" spans="1:8" ht="12.75" customHeight="1">
      <c r="A73" s="946"/>
      <c r="B73" s="784"/>
      <c r="C73" s="785" t="s">
        <v>66</v>
      </c>
      <c r="D73" s="122">
        <f>SUM(D74)</f>
        <v>0</v>
      </c>
      <c r="E73" s="803"/>
      <c r="F73" s="803"/>
      <c r="G73" s="122">
        <f>SUM(G74:G74)</f>
        <v>390000</v>
      </c>
      <c r="H73" s="788">
        <f>SUM(H74:H74)</f>
        <v>390000</v>
      </c>
    </row>
    <row r="74" spans="1:11" ht="12.75" customHeight="1">
      <c r="A74" s="946"/>
      <c r="B74" s="808"/>
      <c r="C74" s="809" t="s">
        <v>225</v>
      </c>
      <c r="D74" s="848"/>
      <c r="E74" s="848">
        <v>15000</v>
      </c>
      <c r="F74" s="764">
        <v>26</v>
      </c>
      <c r="G74" s="794">
        <f t="shared" si="3"/>
        <v>390000</v>
      </c>
      <c r="H74" s="810">
        <f t="shared" si="2"/>
        <v>390000</v>
      </c>
      <c r="I74" s="811" t="s">
        <v>228</v>
      </c>
      <c r="J74" s="812">
        <f>+H72+H71+H70+H69+H68+H67+H66+H64+H63+H62+H61+H60+H59+H58+H57+H55+H52+H51+H50+H49+H48+H46+H44+H43+H37+H36+H35+H33+H32+H31+H30+H29+H28+H27+H26+H25+H24+H23</f>
        <v>8083122.7535</v>
      </c>
      <c r="K74" s="733" t="s">
        <v>533</v>
      </c>
    </row>
    <row r="75" spans="1:10" ht="12.75" customHeight="1" thickBot="1">
      <c r="A75" s="947"/>
      <c r="B75" s="813"/>
      <c r="C75" s="814" t="s">
        <v>105</v>
      </c>
      <c r="D75" s="815">
        <f>SUM(D12,D39)</f>
        <v>30793303.545500003</v>
      </c>
      <c r="E75" s="816"/>
      <c r="F75" s="816"/>
      <c r="G75" s="815">
        <f>SUM(G12,G39)</f>
        <v>3736857</v>
      </c>
      <c r="H75" s="817">
        <f>SUM(H12,H39)</f>
        <v>34530160.5455</v>
      </c>
      <c r="I75" s="818" t="s">
        <v>229</v>
      </c>
      <c r="J75" s="819">
        <f>+H75-J74</f>
        <v>26447037.792000003</v>
      </c>
    </row>
    <row r="76" spans="1:16" ht="18" customHeight="1">
      <c r="A76" s="945" t="str">
        <f>'B) Reajuste Tarifas y Ocupación'!A14</f>
        <v>Jardín Infantil Burbujitas de Mar</v>
      </c>
      <c r="B76" s="778"/>
      <c r="C76" s="779" t="s">
        <v>11</v>
      </c>
      <c r="D76" s="780">
        <f>+D77+D82</f>
        <v>33762717.344691664</v>
      </c>
      <c r="E76" s="820"/>
      <c r="F76" s="820"/>
      <c r="G76" s="782">
        <f>SUM(G77,G82)</f>
        <v>2425939.9418498026</v>
      </c>
      <c r="H76" s="783">
        <f>SUM(H77,H82)</f>
        <v>36188657.28654147</v>
      </c>
      <c r="I76" s="737"/>
      <c r="J76" s="737"/>
      <c r="L76" s="965" t="s">
        <v>227</v>
      </c>
      <c r="M76" s="953" t="s">
        <v>195</v>
      </c>
      <c r="N76" s="963" t="s">
        <v>231</v>
      </c>
      <c r="O76" s="963" t="s">
        <v>221</v>
      </c>
      <c r="P76" s="963" t="s">
        <v>230</v>
      </c>
    </row>
    <row r="77" spans="1:16" ht="12.75">
      <c r="A77" s="946"/>
      <c r="B77" s="784"/>
      <c r="C77" s="785" t="s">
        <v>12</v>
      </c>
      <c r="D77" s="122">
        <f>SUM(D78:D81)</f>
        <v>29925399.232</v>
      </c>
      <c r="E77" s="821"/>
      <c r="F77" s="821"/>
      <c r="G77" s="787">
        <f>SUM(G78:G81)</f>
        <v>90000</v>
      </c>
      <c r="H77" s="788">
        <f>SUM(H78:H81)</f>
        <v>30015399.232</v>
      </c>
      <c r="L77" s="966"/>
      <c r="M77" s="954"/>
      <c r="N77" s="964"/>
      <c r="O77" s="964"/>
      <c r="P77" s="964"/>
    </row>
    <row r="78" spans="1:16" ht="12.75">
      <c r="A78" s="946"/>
      <c r="B78" s="789">
        <v>53103040100000</v>
      </c>
      <c r="C78" s="790" t="s">
        <v>95</v>
      </c>
      <c r="D78" s="791">
        <f>+'F) Remuneraciones'!L19</f>
        <v>29575399.232</v>
      </c>
      <c r="E78" s="794">
        <v>0</v>
      </c>
      <c r="F78" s="822">
        <v>0</v>
      </c>
      <c r="G78" s="794">
        <f>E78*F78</f>
        <v>0</v>
      </c>
      <c r="H78" s="795">
        <f>D78+G78</f>
        <v>29575399.232</v>
      </c>
      <c r="L78" s="800" t="s">
        <v>11</v>
      </c>
      <c r="M78" s="828"/>
      <c r="N78" s="828"/>
      <c r="O78" s="828"/>
      <c r="P78" s="829"/>
    </row>
    <row r="79" spans="1:16" ht="12.75">
      <c r="A79" s="946"/>
      <c r="B79" s="789">
        <v>53103050000000</v>
      </c>
      <c r="C79" s="790" t="s">
        <v>172</v>
      </c>
      <c r="D79" s="848">
        <v>0</v>
      </c>
      <c r="E79" s="284">
        <v>30000</v>
      </c>
      <c r="F79" s="285">
        <v>3</v>
      </c>
      <c r="G79" s="794">
        <f>E79*F79</f>
        <v>90000</v>
      </c>
      <c r="H79" s="795">
        <f>D79+G79</f>
        <v>90000</v>
      </c>
      <c r="L79" s="785" t="s">
        <v>16</v>
      </c>
      <c r="M79" s="830"/>
      <c r="N79" s="831"/>
      <c r="O79" s="831"/>
      <c r="P79" s="832"/>
    </row>
    <row r="80" spans="1:16" ht="12.75">
      <c r="A80" s="946"/>
      <c r="B80" s="796">
        <v>53103040400000</v>
      </c>
      <c r="C80" s="797" t="s">
        <v>173</v>
      </c>
      <c r="D80" s="848">
        <v>350000</v>
      </c>
      <c r="E80" s="284">
        <v>0</v>
      </c>
      <c r="F80" s="285">
        <v>0</v>
      </c>
      <c r="G80" s="794">
        <f>E80*F80</f>
        <v>0</v>
      </c>
      <c r="H80" s="795">
        <f>D80+G80</f>
        <v>350000</v>
      </c>
      <c r="L80" s="790" t="s">
        <v>178</v>
      </c>
      <c r="M80" s="261">
        <v>1000000</v>
      </c>
      <c r="N80" s="823">
        <f>+M80*0.6</f>
        <v>600000</v>
      </c>
      <c r="O80" s="823">
        <f>+M80*0.2</f>
        <v>200000</v>
      </c>
      <c r="P80" s="824">
        <f>+M80*0.2</f>
        <v>200000</v>
      </c>
    </row>
    <row r="81" spans="1:16" ht="12.75">
      <c r="A81" s="946"/>
      <c r="B81" s="789">
        <v>53103080010000</v>
      </c>
      <c r="C81" s="790" t="s">
        <v>174</v>
      </c>
      <c r="D81" s="848">
        <v>0</v>
      </c>
      <c r="E81" s="284">
        <v>0</v>
      </c>
      <c r="F81" s="285">
        <v>0</v>
      </c>
      <c r="G81" s="794">
        <f>E81*F81</f>
        <v>0</v>
      </c>
      <c r="H81" s="795">
        <f>D81+G81</f>
        <v>0</v>
      </c>
      <c r="L81" s="790" t="s">
        <v>19</v>
      </c>
      <c r="M81" s="857">
        <v>683509.0059583334</v>
      </c>
      <c r="N81" s="823">
        <f aca="true" t="shared" si="4" ref="N81:N96">+M81*0.6</f>
        <v>410105.403575</v>
      </c>
      <c r="O81" s="823">
        <f aca="true" t="shared" si="5" ref="O81:O96">+M81*0.2</f>
        <v>136701.8011916667</v>
      </c>
      <c r="P81" s="824">
        <f aca="true" t="shared" si="6" ref="P81:P96">+M81*0.2</f>
        <v>136701.8011916667</v>
      </c>
    </row>
    <row r="82" spans="1:17" ht="12.75">
      <c r="A82" s="946"/>
      <c r="B82" s="784"/>
      <c r="C82" s="785" t="s">
        <v>16</v>
      </c>
      <c r="D82" s="122">
        <f>SUM(D83:D102)</f>
        <v>3837318.112691667</v>
      </c>
      <c r="E82" s="821"/>
      <c r="F82" s="821"/>
      <c r="G82" s="122">
        <f>SUM(G83:G102)</f>
        <v>2335939.9418498026</v>
      </c>
      <c r="H82" s="788">
        <f>SUM(H83:H102)</f>
        <v>6173258.054541468</v>
      </c>
      <c r="L82" s="790" t="s">
        <v>179</v>
      </c>
      <c r="M82" s="857">
        <v>2880000</v>
      </c>
      <c r="N82" s="823">
        <f t="shared" si="4"/>
        <v>1728000</v>
      </c>
      <c r="O82" s="823">
        <f t="shared" si="5"/>
        <v>576000</v>
      </c>
      <c r="P82" s="824">
        <f t="shared" si="6"/>
        <v>576000</v>
      </c>
      <c r="Q82" s="733" t="s">
        <v>447</v>
      </c>
    </row>
    <row r="83" spans="1:16" ht="12.75">
      <c r="A83" s="946"/>
      <c r="B83" s="789">
        <v>53201010100000</v>
      </c>
      <c r="C83" s="798" t="s">
        <v>175</v>
      </c>
      <c r="D83" s="848">
        <v>0</v>
      </c>
      <c r="E83" s="848">
        <v>2000</v>
      </c>
      <c r="F83" s="285">
        <f>+'H) Detalle Datos'!M15</f>
        <v>440</v>
      </c>
      <c r="G83" s="794">
        <f aca="true" t="shared" si="7" ref="G83:G102">E83*F83</f>
        <v>880000</v>
      </c>
      <c r="H83" s="795">
        <f aca="true" t="shared" si="8" ref="H83:H88">D83+G83</f>
        <v>880000</v>
      </c>
      <c r="L83" s="790" t="s">
        <v>222</v>
      </c>
      <c r="M83" s="857">
        <v>73720</v>
      </c>
      <c r="N83" s="823">
        <f t="shared" si="4"/>
        <v>44232</v>
      </c>
      <c r="O83" s="823">
        <f t="shared" si="5"/>
        <v>14744</v>
      </c>
      <c r="P83" s="824">
        <f t="shared" si="6"/>
        <v>14744</v>
      </c>
    </row>
    <row r="84" spans="1:16" ht="12.75">
      <c r="A84" s="946"/>
      <c r="B84" s="789">
        <v>53201010100000</v>
      </c>
      <c r="C84" s="798" t="s">
        <v>176</v>
      </c>
      <c r="D84" s="848">
        <v>0</v>
      </c>
      <c r="E84" s="284">
        <f>+'H) Detalle Datos'!H32</f>
        <v>178.6210209605941</v>
      </c>
      <c r="F84" s="285">
        <f>+'H) Detalle Datos'!I30+'H) Detalle Datos'!J30</f>
        <v>8151</v>
      </c>
      <c r="G84" s="794">
        <f t="shared" si="7"/>
        <v>1455939.9418498026</v>
      </c>
      <c r="H84" s="795">
        <f t="shared" si="8"/>
        <v>1455939.9418498026</v>
      </c>
      <c r="L84" s="790" t="s">
        <v>22</v>
      </c>
      <c r="M84" s="857">
        <v>2500000</v>
      </c>
      <c r="N84" s="823">
        <f t="shared" si="4"/>
        <v>1500000</v>
      </c>
      <c r="O84" s="823">
        <f t="shared" si="5"/>
        <v>500000</v>
      </c>
      <c r="P84" s="824">
        <f t="shared" si="6"/>
        <v>500000</v>
      </c>
    </row>
    <row r="85" spans="1:16" ht="12.75">
      <c r="A85" s="946"/>
      <c r="B85" s="789">
        <v>53201010100000</v>
      </c>
      <c r="C85" s="798" t="s">
        <v>177</v>
      </c>
      <c r="D85" s="848">
        <v>0</v>
      </c>
      <c r="E85" s="284">
        <v>0</v>
      </c>
      <c r="F85" s="285">
        <v>0</v>
      </c>
      <c r="G85" s="794">
        <f t="shared" si="7"/>
        <v>0</v>
      </c>
      <c r="H85" s="795">
        <f t="shared" si="8"/>
        <v>0</v>
      </c>
      <c r="L85" s="790" t="s">
        <v>181</v>
      </c>
      <c r="M85" s="857">
        <v>3000000</v>
      </c>
      <c r="N85" s="823">
        <f t="shared" si="4"/>
        <v>1800000</v>
      </c>
      <c r="O85" s="823">
        <f t="shared" si="5"/>
        <v>600000</v>
      </c>
      <c r="P85" s="824">
        <f t="shared" si="6"/>
        <v>600000</v>
      </c>
    </row>
    <row r="86" spans="1:16" ht="12.75">
      <c r="A86" s="946"/>
      <c r="B86" s="789">
        <v>53202010100000</v>
      </c>
      <c r="C86" s="790" t="s">
        <v>178</v>
      </c>
      <c r="D86" s="794">
        <f>+P80</f>
        <v>200000</v>
      </c>
      <c r="E86" s="794">
        <v>0</v>
      </c>
      <c r="F86" s="825">
        <v>0</v>
      </c>
      <c r="G86" s="794">
        <f t="shared" si="7"/>
        <v>0</v>
      </c>
      <c r="H86" s="795">
        <f t="shared" si="8"/>
        <v>200000</v>
      </c>
      <c r="L86" s="790" t="s">
        <v>24</v>
      </c>
      <c r="M86" s="857">
        <v>2961451.916666666</v>
      </c>
      <c r="N86" s="823">
        <f t="shared" si="4"/>
        <v>1776871.1499999997</v>
      </c>
      <c r="O86" s="823">
        <f t="shared" si="5"/>
        <v>592290.3833333332</v>
      </c>
      <c r="P86" s="824">
        <f t="shared" si="6"/>
        <v>592290.3833333332</v>
      </c>
    </row>
    <row r="87" spans="1:16" ht="12.75">
      <c r="A87" s="946"/>
      <c r="B87" s="789">
        <v>53203010100000</v>
      </c>
      <c r="C87" s="790" t="s">
        <v>19</v>
      </c>
      <c r="D87" s="794">
        <f aca="true" t="shared" si="9" ref="D87:D102">+P81</f>
        <v>136701.8011916667</v>
      </c>
      <c r="E87" s="794">
        <v>0</v>
      </c>
      <c r="F87" s="825">
        <v>0</v>
      </c>
      <c r="G87" s="794">
        <f t="shared" si="7"/>
        <v>0</v>
      </c>
      <c r="H87" s="795">
        <f t="shared" si="8"/>
        <v>136701.8011916667</v>
      </c>
      <c r="L87" s="790" t="s">
        <v>25</v>
      </c>
      <c r="M87" s="857">
        <v>361772.6666666666</v>
      </c>
      <c r="N87" s="823">
        <f t="shared" si="4"/>
        <v>217063.59999999998</v>
      </c>
      <c r="O87" s="823">
        <f t="shared" si="5"/>
        <v>72354.53333333333</v>
      </c>
      <c r="P87" s="824">
        <f t="shared" si="6"/>
        <v>72354.53333333333</v>
      </c>
    </row>
    <row r="88" spans="1:16" ht="12.75">
      <c r="A88" s="946"/>
      <c r="B88" s="789">
        <v>53203030000000</v>
      </c>
      <c r="C88" s="790" t="s">
        <v>179</v>
      </c>
      <c r="D88" s="794">
        <f t="shared" si="9"/>
        <v>576000</v>
      </c>
      <c r="E88" s="794">
        <v>0</v>
      </c>
      <c r="F88" s="825">
        <v>0</v>
      </c>
      <c r="G88" s="794">
        <f t="shared" si="7"/>
        <v>0</v>
      </c>
      <c r="H88" s="795">
        <f t="shared" si="8"/>
        <v>576000</v>
      </c>
      <c r="I88" s="733" t="s">
        <v>226</v>
      </c>
      <c r="L88" s="790" t="s">
        <v>26</v>
      </c>
      <c r="M88" s="857">
        <v>3743588.5725000002</v>
      </c>
      <c r="N88" s="823">
        <f t="shared" si="4"/>
        <v>2246153.1435000002</v>
      </c>
      <c r="O88" s="823">
        <f t="shared" si="5"/>
        <v>748717.7145000001</v>
      </c>
      <c r="P88" s="824">
        <f t="shared" si="6"/>
        <v>748717.7145000001</v>
      </c>
    </row>
    <row r="89" spans="1:16" ht="12.75">
      <c r="A89" s="946"/>
      <c r="B89" s="789">
        <v>53204030000000</v>
      </c>
      <c r="C89" s="790" t="s">
        <v>222</v>
      </c>
      <c r="D89" s="794">
        <f t="shared" si="9"/>
        <v>14744</v>
      </c>
      <c r="E89" s="794">
        <v>0</v>
      </c>
      <c r="F89" s="825">
        <v>0</v>
      </c>
      <c r="G89" s="794">
        <f t="shared" si="7"/>
        <v>0</v>
      </c>
      <c r="H89" s="795">
        <f>D89+G89</f>
        <v>14744</v>
      </c>
      <c r="L89" s="790" t="s">
        <v>27</v>
      </c>
      <c r="M89" s="857">
        <v>0</v>
      </c>
      <c r="N89" s="823">
        <f t="shared" si="4"/>
        <v>0</v>
      </c>
      <c r="O89" s="823">
        <f t="shared" si="5"/>
        <v>0</v>
      </c>
      <c r="P89" s="824">
        <f t="shared" si="6"/>
        <v>0</v>
      </c>
    </row>
    <row r="90" spans="1:17" ht="12.75">
      <c r="A90" s="946"/>
      <c r="B90" s="789">
        <v>53204100100001</v>
      </c>
      <c r="C90" s="790" t="s">
        <v>22</v>
      </c>
      <c r="D90" s="794">
        <f t="shared" si="9"/>
        <v>500000</v>
      </c>
      <c r="E90" s="794">
        <v>0</v>
      </c>
      <c r="F90" s="825">
        <v>0</v>
      </c>
      <c r="G90" s="794">
        <f t="shared" si="7"/>
        <v>0</v>
      </c>
      <c r="H90" s="795">
        <f aca="true" t="shared" si="10" ref="H90:H102">D90+G90</f>
        <v>500000</v>
      </c>
      <c r="L90" s="790" t="s">
        <v>29</v>
      </c>
      <c r="M90" s="858">
        <v>320000</v>
      </c>
      <c r="N90" s="826">
        <f t="shared" si="4"/>
        <v>192000</v>
      </c>
      <c r="O90" s="826">
        <f t="shared" si="5"/>
        <v>64000</v>
      </c>
      <c r="P90" s="827">
        <f t="shared" si="6"/>
        <v>64000</v>
      </c>
      <c r="Q90" s="733" t="s">
        <v>540</v>
      </c>
    </row>
    <row r="91" spans="1:16" ht="12.75">
      <c r="A91" s="946"/>
      <c r="B91" s="789">
        <v>53204130100000</v>
      </c>
      <c r="C91" s="790" t="s">
        <v>181</v>
      </c>
      <c r="D91" s="794">
        <f t="shared" si="9"/>
        <v>600000</v>
      </c>
      <c r="E91" s="794">
        <v>0</v>
      </c>
      <c r="F91" s="825">
        <v>0</v>
      </c>
      <c r="G91" s="794">
        <f t="shared" si="7"/>
        <v>0</v>
      </c>
      <c r="H91" s="795">
        <f t="shared" si="10"/>
        <v>600000</v>
      </c>
      <c r="L91" s="790" t="s">
        <v>30</v>
      </c>
      <c r="M91" s="857">
        <v>138475.63216666665</v>
      </c>
      <c r="N91" s="823">
        <f t="shared" si="4"/>
        <v>83085.37929999999</v>
      </c>
      <c r="O91" s="823">
        <f t="shared" si="5"/>
        <v>27695.12643333333</v>
      </c>
      <c r="P91" s="824">
        <f t="shared" si="6"/>
        <v>27695.12643333333</v>
      </c>
    </row>
    <row r="92" spans="1:16" ht="12.75">
      <c r="A92" s="946"/>
      <c r="B92" s="789">
        <v>53205010100000</v>
      </c>
      <c r="C92" s="790" t="s">
        <v>24</v>
      </c>
      <c r="D92" s="794">
        <f t="shared" si="9"/>
        <v>592290.3833333332</v>
      </c>
      <c r="E92" s="794">
        <v>0</v>
      </c>
      <c r="F92" s="825">
        <v>0</v>
      </c>
      <c r="G92" s="794">
        <f t="shared" si="7"/>
        <v>0</v>
      </c>
      <c r="H92" s="795">
        <f t="shared" si="10"/>
        <v>592290.3833333332</v>
      </c>
      <c r="L92" s="790" t="s">
        <v>31</v>
      </c>
      <c r="M92" s="261">
        <v>0</v>
      </c>
      <c r="N92" s="823">
        <f t="shared" si="4"/>
        <v>0</v>
      </c>
      <c r="O92" s="823">
        <f t="shared" si="5"/>
        <v>0</v>
      </c>
      <c r="P92" s="824">
        <f t="shared" si="6"/>
        <v>0</v>
      </c>
    </row>
    <row r="93" spans="1:16" ht="12.75">
      <c r="A93" s="946"/>
      <c r="B93" s="789">
        <v>53205020100000</v>
      </c>
      <c r="C93" s="790" t="s">
        <v>25</v>
      </c>
      <c r="D93" s="794">
        <f t="shared" si="9"/>
        <v>72354.53333333333</v>
      </c>
      <c r="E93" s="794">
        <v>0</v>
      </c>
      <c r="F93" s="825">
        <v>0</v>
      </c>
      <c r="G93" s="794">
        <f t="shared" si="7"/>
        <v>0</v>
      </c>
      <c r="H93" s="795">
        <f t="shared" si="10"/>
        <v>72354.53333333333</v>
      </c>
      <c r="L93" s="790" t="s">
        <v>182</v>
      </c>
      <c r="M93" s="857">
        <v>0</v>
      </c>
      <c r="N93" s="823">
        <f t="shared" si="4"/>
        <v>0</v>
      </c>
      <c r="O93" s="823">
        <f t="shared" si="5"/>
        <v>0</v>
      </c>
      <c r="P93" s="824">
        <f t="shared" si="6"/>
        <v>0</v>
      </c>
    </row>
    <row r="94" spans="1:18" ht="12.75">
      <c r="A94" s="946"/>
      <c r="B94" s="789">
        <v>53205030100000</v>
      </c>
      <c r="C94" s="790" t="s">
        <v>26</v>
      </c>
      <c r="D94" s="794">
        <f t="shared" si="9"/>
        <v>748717.7145000001</v>
      </c>
      <c r="E94" s="794">
        <v>0</v>
      </c>
      <c r="F94" s="825">
        <v>0</v>
      </c>
      <c r="G94" s="794">
        <f t="shared" si="7"/>
        <v>0</v>
      </c>
      <c r="H94" s="795">
        <f t="shared" si="10"/>
        <v>748717.7145000001</v>
      </c>
      <c r="L94" s="790" t="s">
        <v>32</v>
      </c>
      <c r="M94" s="857">
        <v>0</v>
      </c>
      <c r="N94" s="823">
        <f t="shared" si="4"/>
        <v>0</v>
      </c>
      <c r="O94" s="823">
        <f t="shared" si="5"/>
        <v>0</v>
      </c>
      <c r="P94" s="824">
        <f t="shared" si="6"/>
        <v>0</v>
      </c>
      <c r="Q94" s="733"/>
      <c r="R94" s="733"/>
    </row>
    <row r="95" spans="1:18" ht="12.75">
      <c r="A95" s="946"/>
      <c r="B95" s="789">
        <v>53205050100000</v>
      </c>
      <c r="C95" s="790" t="s">
        <v>27</v>
      </c>
      <c r="D95" s="794">
        <f t="shared" si="9"/>
        <v>0</v>
      </c>
      <c r="E95" s="794">
        <v>0</v>
      </c>
      <c r="F95" s="825">
        <v>0</v>
      </c>
      <c r="G95" s="794">
        <f t="shared" si="7"/>
        <v>0</v>
      </c>
      <c r="H95" s="795">
        <f t="shared" si="10"/>
        <v>0</v>
      </c>
      <c r="L95" s="790" t="s">
        <v>183</v>
      </c>
      <c r="M95" s="857">
        <v>1364072.7695</v>
      </c>
      <c r="N95" s="823">
        <f t="shared" si="4"/>
        <v>818443.6616999999</v>
      </c>
      <c r="O95" s="823">
        <f t="shared" si="5"/>
        <v>272814.5539</v>
      </c>
      <c r="P95" s="824">
        <f t="shared" si="6"/>
        <v>272814.5539</v>
      </c>
      <c r="Q95" s="739">
        <f>M95/12</f>
        <v>113672.73079166666</v>
      </c>
      <c r="R95" s="733" t="s">
        <v>504</v>
      </c>
    </row>
    <row r="96" spans="1:16" ht="12.75">
      <c r="A96" s="946"/>
      <c r="B96" s="789">
        <v>53205070100000</v>
      </c>
      <c r="C96" s="790" t="s">
        <v>29</v>
      </c>
      <c r="D96" s="794">
        <f t="shared" si="9"/>
        <v>64000</v>
      </c>
      <c r="E96" s="794">
        <v>0</v>
      </c>
      <c r="F96" s="825">
        <v>0</v>
      </c>
      <c r="G96" s="794">
        <f t="shared" si="7"/>
        <v>0</v>
      </c>
      <c r="H96" s="795">
        <f t="shared" si="10"/>
        <v>64000</v>
      </c>
      <c r="L96" s="790" t="s">
        <v>184</v>
      </c>
      <c r="M96" s="261">
        <v>160000</v>
      </c>
      <c r="N96" s="823">
        <f t="shared" si="4"/>
        <v>96000</v>
      </c>
      <c r="O96" s="823">
        <f t="shared" si="5"/>
        <v>32000</v>
      </c>
      <c r="P96" s="824">
        <f t="shared" si="6"/>
        <v>32000</v>
      </c>
    </row>
    <row r="97" spans="1:16" ht="12.75">
      <c r="A97" s="946"/>
      <c r="B97" s="789">
        <v>53208010100000</v>
      </c>
      <c r="C97" s="790" t="s">
        <v>30</v>
      </c>
      <c r="D97" s="794">
        <f t="shared" si="9"/>
        <v>27695.12643333333</v>
      </c>
      <c r="E97" s="794">
        <v>0</v>
      </c>
      <c r="F97" s="825">
        <v>0</v>
      </c>
      <c r="G97" s="794">
        <f t="shared" si="7"/>
        <v>0</v>
      </c>
      <c r="H97" s="795">
        <f t="shared" si="10"/>
        <v>27695.12643333333</v>
      </c>
      <c r="L97" s="800" t="s">
        <v>34</v>
      </c>
      <c r="M97" s="940"/>
      <c r="N97" s="940"/>
      <c r="O97" s="940"/>
      <c r="P97" s="941"/>
    </row>
    <row r="98" spans="1:16" ht="12.75">
      <c r="A98" s="946"/>
      <c r="B98" s="789">
        <v>53208070100001</v>
      </c>
      <c r="C98" s="790" t="s">
        <v>31</v>
      </c>
      <c r="D98" s="794">
        <f t="shared" si="9"/>
        <v>0</v>
      </c>
      <c r="E98" s="794">
        <v>0</v>
      </c>
      <c r="F98" s="825">
        <v>0</v>
      </c>
      <c r="G98" s="794">
        <f t="shared" si="7"/>
        <v>0</v>
      </c>
      <c r="H98" s="795">
        <f t="shared" si="10"/>
        <v>0</v>
      </c>
      <c r="L98" s="785" t="s">
        <v>35</v>
      </c>
      <c r="M98" s="942"/>
      <c r="N98" s="943"/>
      <c r="O98" s="943"/>
      <c r="P98" s="944"/>
    </row>
    <row r="99" spans="1:16" ht="12.75">
      <c r="A99" s="946"/>
      <c r="B99" s="789">
        <v>53208100100001</v>
      </c>
      <c r="C99" s="790" t="s">
        <v>182</v>
      </c>
      <c r="D99" s="794">
        <f t="shared" si="9"/>
        <v>0</v>
      </c>
      <c r="E99" s="794">
        <v>0</v>
      </c>
      <c r="F99" s="825">
        <v>0</v>
      </c>
      <c r="G99" s="794">
        <f t="shared" si="7"/>
        <v>0</v>
      </c>
      <c r="H99" s="795">
        <f t="shared" si="10"/>
        <v>0</v>
      </c>
      <c r="L99" s="790" t="s">
        <v>41</v>
      </c>
      <c r="M99" s="857">
        <v>0</v>
      </c>
      <c r="N99" s="823">
        <f>+M99*0.6</f>
        <v>0</v>
      </c>
      <c r="O99" s="823">
        <f>+M99*0.2</f>
        <v>0</v>
      </c>
      <c r="P99" s="824">
        <f>+M99*0.2</f>
        <v>0</v>
      </c>
    </row>
    <row r="100" spans="1:16" ht="12.75">
      <c r="A100" s="946"/>
      <c r="B100" s="789">
        <v>53211030000000</v>
      </c>
      <c r="C100" s="790" t="s">
        <v>32</v>
      </c>
      <c r="D100" s="794">
        <f t="shared" si="9"/>
        <v>0</v>
      </c>
      <c r="E100" s="794">
        <v>0</v>
      </c>
      <c r="F100" s="825">
        <v>0</v>
      </c>
      <c r="G100" s="794">
        <f t="shared" si="7"/>
        <v>0</v>
      </c>
      <c r="H100" s="795">
        <f t="shared" si="10"/>
        <v>0</v>
      </c>
      <c r="L100" s="790" t="s">
        <v>187</v>
      </c>
      <c r="M100" s="857">
        <v>0</v>
      </c>
      <c r="N100" s="823">
        <f>+M100*0.6</f>
        <v>0</v>
      </c>
      <c r="O100" s="823">
        <f>+M100*0.2</f>
        <v>0</v>
      </c>
      <c r="P100" s="824">
        <f>+M100*0.2</f>
        <v>0</v>
      </c>
    </row>
    <row r="101" spans="1:16" ht="12.75">
      <c r="A101" s="946"/>
      <c r="B101" s="789">
        <v>53212020100000</v>
      </c>
      <c r="C101" s="790" t="s">
        <v>183</v>
      </c>
      <c r="D101" s="794">
        <f t="shared" si="9"/>
        <v>272814.5539</v>
      </c>
      <c r="E101" s="794">
        <v>0</v>
      </c>
      <c r="F101" s="825">
        <v>0</v>
      </c>
      <c r="G101" s="794">
        <f t="shared" si="7"/>
        <v>0</v>
      </c>
      <c r="H101" s="795">
        <f t="shared" si="10"/>
        <v>272814.5539</v>
      </c>
      <c r="L101" s="785" t="s">
        <v>42</v>
      </c>
      <c r="M101" s="942"/>
      <c r="N101" s="943"/>
      <c r="O101" s="943"/>
      <c r="P101" s="944"/>
    </row>
    <row r="102" spans="1:16" ht="12.75">
      <c r="A102" s="946"/>
      <c r="B102" s="789">
        <v>53214020000000</v>
      </c>
      <c r="C102" s="790" t="s">
        <v>184</v>
      </c>
      <c r="D102" s="794">
        <f t="shared" si="9"/>
        <v>32000</v>
      </c>
      <c r="E102" s="794">
        <v>0</v>
      </c>
      <c r="F102" s="825">
        <v>0</v>
      </c>
      <c r="G102" s="794">
        <f t="shared" si="7"/>
        <v>0</v>
      </c>
      <c r="H102" s="795">
        <f t="shared" si="10"/>
        <v>32000</v>
      </c>
      <c r="L102" s="790" t="s">
        <v>44</v>
      </c>
      <c r="M102" s="857">
        <v>0</v>
      </c>
      <c r="N102" s="823">
        <f>+M102*0.6</f>
        <v>0</v>
      </c>
      <c r="O102" s="823">
        <f>+M102*0.2</f>
        <v>0</v>
      </c>
      <c r="P102" s="824">
        <f>+M102*0.2</f>
        <v>0</v>
      </c>
    </row>
    <row r="103" spans="1:16" ht="12.75">
      <c r="A103" s="946"/>
      <c r="B103" s="799"/>
      <c r="C103" s="800" t="s">
        <v>34</v>
      </c>
      <c r="D103" s="121">
        <f>SUM(D104,D109,D111,D120,D129,D137)</f>
        <v>2513969.7504000003</v>
      </c>
      <c r="E103" s="833"/>
      <c r="F103" s="833"/>
      <c r="G103" s="121">
        <f>SUM(G104,G109,G111,G120,G129,G137)</f>
        <v>744000</v>
      </c>
      <c r="H103" s="834">
        <f>SUM(H104,H109,H111,H120,H129,H137)</f>
        <v>3257969.7504000003</v>
      </c>
      <c r="L103" s="785" t="s">
        <v>45</v>
      </c>
      <c r="M103" s="942" t="s">
        <v>226</v>
      </c>
      <c r="N103" s="943"/>
      <c r="O103" s="943"/>
      <c r="P103" s="944"/>
    </row>
    <row r="104" spans="1:16" ht="12.75">
      <c r="A104" s="946"/>
      <c r="B104" s="784"/>
      <c r="C104" s="785" t="s">
        <v>35</v>
      </c>
      <c r="D104" s="122">
        <f>SUM(D105:D108)</f>
        <v>0</v>
      </c>
      <c r="E104" s="821"/>
      <c r="F104" s="821"/>
      <c r="G104" s="122">
        <f>SUM(G105:G108)</f>
        <v>180000</v>
      </c>
      <c r="H104" s="835">
        <f>SUM(H105:H108)</f>
        <v>180000</v>
      </c>
      <c r="L104" s="790" t="s">
        <v>47</v>
      </c>
      <c r="M104" s="857">
        <f>707011+500000</f>
        <v>1207011</v>
      </c>
      <c r="N104" s="823">
        <f>+M104*0.6</f>
        <v>724206.6</v>
      </c>
      <c r="O104" s="823">
        <f>+M104*0.2</f>
        <v>241402.2</v>
      </c>
      <c r="P104" s="824">
        <f>+M104*0.2</f>
        <v>241402.2</v>
      </c>
    </row>
    <row r="105" spans="1:16" ht="12.75">
      <c r="A105" s="946"/>
      <c r="B105" s="789">
        <v>53202020100000</v>
      </c>
      <c r="C105" s="790" t="s">
        <v>185</v>
      </c>
      <c r="D105" s="848">
        <v>0</v>
      </c>
      <c r="E105" s="284">
        <v>40000</v>
      </c>
      <c r="F105" s="286">
        <v>4</v>
      </c>
      <c r="G105" s="794">
        <f>E105*F105</f>
        <v>160000</v>
      </c>
      <c r="H105" s="795">
        <f>D105+G105</f>
        <v>160000</v>
      </c>
      <c r="L105" s="790" t="s">
        <v>223</v>
      </c>
      <c r="M105" s="857">
        <v>100000</v>
      </c>
      <c r="N105" s="823">
        <f aca="true" t="shared" si="11" ref="N105:N111">+M105*0.6</f>
        <v>60000</v>
      </c>
      <c r="O105" s="823">
        <f aca="true" t="shared" si="12" ref="O105:O111">+M105*0.2</f>
        <v>20000</v>
      </c>
      <c r="P105" s="824">
        <f aca="true" t="shared" si="13" ref="P105:P111">+M105*0.2</f>
        <v>20000</v>
      </c>
    </row>
    <row r="106" spans="1:16" ht="12.75">
      <c r="A106" s="946"/>
      <c r="B106" s="789">
        <v>53202030000000</v>
      </c>
      <c r="C106" s="790" t="s">
        <v>186</v>
      </c>
      <c r="D106" s="848">
        <v>0</v>
      </c>
      <c r="E106" s="768">
        <v>20000</v>
      </c>
      <c r="F106" s="769">
        <v>1</v>
      </c>
      <c r="G106" s="794">
        <f>E106*F106</f>
        <v>20000</v>
      </c>
      <c r="H106" s="795">
        <f>D106+G106</f>
        <v>20000</v>
      </c>
      <c r="I106" s="733" t="s">
        <v>534</v>
      </c>
      <c r="L106" s="790" t="s">
        <v>49</v>
      </c>
      <c r="M106" s="857">
        <v>0</v>
      </c>
      <c r="N106" s="823">
        <f t="shared" si="11"/>
        <v>0</v>
      </c>
      <c r="O106" s="823">
        <f t="shared" si="12"/>
        <v>0</v>
      </c>
      <c r="P106" s="824">
        <f t="shared" si="13"/>
        <v>0</v>
      </c>
    </row>
    <row r="107" spans="1:17" ht="12.75">
      <c r="A107" s="946"/>
      <c r="B107" s="789">
        <v>53211020000000</v>
      </c>
      <c r="C107" s="790" t="s">
        <v>41</v>
      </c>
      <c r="D107" s="836">
        <f>+P99</f>
        <v>0</v>
      </c>
      <c r="E107" s="836">
        <v>0</v>
      </c>
      <c r="F107" s="837">
        <v>0</v>
      </c>
      <c r="G107" s="794">
        <f>E107*F107</f>
        <v>0</v>
      </c>
      <c r="H107" s="795">
        <f>D107+G107</f>
        <v>0</v>
      </c>
      <c r="L107" s="790" t="s">
        <v>50</v>
      </c>
      <c r="M107" s="857">
        <v>3799737</v>
      </c>
      <c r="N107" s="823">
        <f t="shared" si="11"/>
        <v>2279842.1999999997</v>
      </c>
      <c r="O107" s="823">
        <f t="shared" si="12"/>
        <v>759947.4</v>
      </c>
      <c r="P107" s="824">
        <f t="shared" si="13"/>
        <v>759947.4</v>
      </c>
      <c r="Q107" s="733" t="s">
        <v>505</v>
      </c>
    </row>
    <row r="108" spans="1:16" ht="12.75">
      <c r="A108" s="946"/>
      <c r="B108" s="789">
        <v>53101040600000</v>
      </c>
      <c r="C108" s="790" t="s">
        <v>187</v>
      </c>
      <c r="D108" s="836">
        <f>+P100</f>
        <v>0</v>
      </c>
      <c r="E108" s="836">
        <v>0</v>
      </c>
      <c r="F108" s="837">
        <v>0</v>
      </c>
      <c r="G108" s="794">
        <f>E108*F108</f>
        <v>0</v>
      </c>
      <c r="H108" s="795">
        <f>D108+G108</f>
        <v>0</v>
      </c>
      <c r="L108" s="790" t="s">
        <v>51</v>
      </c>
      <c r="M108" s="857">
        <f>427980+500000</f>
        <v>927980</v>
      </c>
      <c r="N108" s="823">
        <f t="shared" si="11"/>
        <v>556788</v>
      </c>
      <c r="O108" s="823">
        <f t="shared" si="12"/>
        <v>185596</v>
      </c>
      <c r="P108" s="824">
        <f t="shared" si="13"/>
        <v>185596</v>
      </c>
    </row>
    <row r="109" spans="1:16" ht="12.75">
      <c r="A109" s="946"/>
      <c r="B109" s="784"/>
      <c r="C109" s="785" t="s">
        <v>42</v>
      </c>
      <c r="D109" s="122">
        <f>SUM(D110)</f>
        <v>0</v>
      </c>
      <c r="E109" s="821"/>
      <c r="F109" s="821"/>
      <c r="G109" s="804">
        <f>SUM(G110:G110)</f>
        <v>0</v>
      </c>
      <c r="H109" s="835">
        <f>SUM(H110:H110)</f>
        <v>0</v>
      </c>
      <c r="L109" s="790" t="s">
        <v>52</v>
      </c>
      <c r="M109" s="857">
        <v>160000</v>
      </c>
      <c r="N109" s="823">
        <f t="shared" si="11"/>
        <v>96000</v>
      </c>
      <c r="O109" s="823">
        <f t="shared" si="12"/>
        <v>32000</v>
      </c>
      <c r="P109" s="824">
        <f t="shared" si="13"/>
        <v>32000</v>
      </c>
    </row>
    <row r="110" spans="1:16" ht="12.75">
      <c r="A110" s="946"/>
      <c r="B110" s="807">
        <v>53205990000000</v>
      </c>
      <c r="C110" s="838" t="s">
        <v>44</v>
      </c>
      <c r="D110" s="836">
        <f>+P102</f>
        <v>0</v>
      </c>
      <c r="E110" s="836">
        <v>0</v>
      </c>
      <c r="F110" s="839">
        <v>0</v>
      </c>
      <c r="G110" s="794">
        <f>E110*F110</f>
        <v>0</v>
      </c>
      <c r="H110" s="795">
        <f>D110+G110</f>
        <v>0</v>
      </c>
      <c r="L110" s="840" t="s">
        <v>188</v>
      </c>
      <c r="M110" s="857">
        <v>220000</v>
      </c>
      <c r="N110" s="823">
        <f t="shared" si="11"/>
        <v>132000</v>
      </c>
      <c r="O110" s="823">
        <f t="shared" si="12"/>
        <v>44000</v>
      </c>
      <c r="P110" s="824">
        <f t="shared" si="13"/>
        <v>44000</v>
      </c>
    </row>
    <row r="111" spans="1:16" ht="12.75">
      <c r="A111" s="946"/>
      <c r="B111" s="784"/>
      <c r="C111" s="785" t="s">
        <v>45</v>
      </c>
      <c r="D111" s="122">
        <f>SUM(D112:D119)</f>
        <v>1581231.6</v>
      </c>
      <c r="E111" s="821"/>
      <c r="F111" s="821"/>
      <c r="G111" s="122">
        <f>SUM(G112:G119)</f>
        <v>0</v>
      </c>
      <c r="H111" s="835">
        <f>SUM(H112:H119)</f>
        <v>1581231.6</v>
      </c>
      <c r="L111" s="790" t="s">
        <v>180</v>
      </c>
      <c r="M111" s="857">
        <f>1191430+300000</f>
        <v>1491430</v>
      </c>
      <c r="N111" s="823">
        <f t="shared" si="11"/>
        <v>894858</v>
      </c>
      <c r="O111" s="823">
        <f t="shared" si="12"/>
        <v>298286</v>
      </c>
      <c r="P111" s="824">
        <f t="shared" si="13"/>
        <v>298286</v>
      </c>
    </row>
    <row r="112" spans="1:16" ht="12.75">
      <c r="A112" s="946"/>
      <c r="B112" s="789">
        <v>53204010000000</v>
      </c>
      <c r="C112" s="790" t="s">
        <v>47</v>
      </c>
      <c r="D112" s="836">
        <f>+P104</f>
        <v>241402.2</v>
      </c>
      <c r="E112" s="836">
        <v>0</v>
      </c>
      <c r="F112" s="837">
        <v>0</v>
      </c>
      <c r="G112" s="836">
        <f aca="true" t="shared" si="14" ref="G112:G119">E112*F112</f>
        <v>0</v>
      </c>
      <c r="H112" s="795">
        <f aca="true" t="shared" si="15" ref="H112:H119">D112+G112</f>
        <v>241402.2</v>
      </c>
      <c r="L112" s="785" t="s">
        <v>55</v>
      </c>
      <c r="M112" s="942"/>
      <c r="N112" s="943"/>
      <c r="O112" s="943"/>
      <c r="P112" s="944"/>
    </row>
    <row r="113" spans="1:16" ht="12.75">
      <c r="A113" s="946"/>
      <c r="B113" s="807">
        <v>53204040200000</v>
      </c>
      <c r="C113" s="790" t="s">
        <v>223</v>
      </c>
      <c r="D113" s="836">
        <f aca="true" t="shared" si="16" ref="D113:D119">+P105</f>
        <v>20000</v>
      </c>
      <c r="E113" s="836">
        <v>0</v>
      </c>
      <c r="F113" s="837">
        <v>0</v>
      </c>
      <c r="G113" s="836">
        <f t="shared" si="14"/>
        <v>0</v>
      </c>
      <c r="H113" s="795">
        <f t="shared" si="15"/>
        <v>20000</v>
      </c>
      <c r="L113" s="790" t="s">
        <v>56</v>
      </c>
      <c r="M113" s="857">
        <v>0</v>
      </c>
      <c r="N113" s="823">
        <f>+M113*0.6</f>
        <v>0</v>
      </c>
      <c r="O113" s="823">
        <f>+M113*0.2</f>
        <v>0</v>
      </c>
      <c r="P113" s="824">
        <f>+M113*0.2</f>
        <v>0</v>
      </c>
    </row>
    <row r="114" spans="1:16" ht="12.75">
      <c r="A114" s="946"/>
      <c r="B114" s="789">
        <v>53204060000000</v>
      </c>
      <c r="C114" s="790" t="s">
        <v>49</v>
      </c>
      <c r="D114" s="836">
        <f t="shared" si="16"/>
        <v>0</v>
      </c>
      <c r="E114" s="836">
        <v>0</v>
      </c>
      <c r="F114" s="837">
        <v>0</v>
      </c>
      <c r="G114" s="836">
        <f t="shared" si="14"/>
        <v>0</v>
      </c>
      <c r="H114" s="795">
        <f t="shared" si="15"/>
        <v>0</v>
      </c>
      <c r="L114" s="790" t="s">
        <v>57</v>
      </c>
      <c r="M114" s="857">
        <v>0</v>
      </c>
      <c r="N114" s="823">
        <f aca="true" t="shared" si="17" ref="N114:N119">+M114*0.6</f>
        <v>0</v>
      </c>
      <c r="O114" s="823">
        <f aca="true" t="shared" si="18" ref="O114:O119">+M114*0.2</f>
        <v>0</v>
      </c>
      <c r="P114" s="824">
        <f aca="true" t="shared" si="19" ref="P114:P119">+M114*0.2</f>
        <v>0</v>
      </c>
    </row>
    <row r="115" spans="1:16" ht="12.75" customHeight="1">
      <c r="A115" s="946"/>
      <c r="B115" s="789">
        <v>53204070000000</v>
      </c>
      <c r="C115" s="790" t="s">
        <v>50</v>
      </c>
      <c r="D115" s="836">
        <f t="shared" si="16"/>
        <v>759947.4</v>
      </c>
      <c r="E115" s="836">
        <v>0</v>
      </c>
      <c r="F115" s="837">
        <v>0</v>
      </c>
      <c r="G115" s="836">
        <f t="shared" si="14"/>
        <v>0</v>
      </c>
      <c r="H115" s="795">
        <f t="shared" si="15"/>
        <v>759947.4</v>
      </c>
      <c r="L115" s="790" t="s">
        <v>171</v>
      </c>
      <c r="M115" s="857">
        <v>0</v>
      </c>
      <c r="N115" s="823">
        <f t="shared" si="17"/>
        <v>0</v>
      </c>
      <c r="O115" s="823">
        <f t="shared" si="18"/>
        <v>0</v>
      </c>
      <c r="P115" s="824">
        <f t="shared" si="19"/>
        <v>0</v>
      </c>
    </row>
    <row r="116" spans="1:16" ht="12.75">
      <c r="A116" s="946"/>
      <c r="B116" s="789">
        <v>53204080000000</v>
      </c>
      <c r="C116" s="790" t="s">
        <v>51</v>
      </c>
      <c r="D116" s="836">
        <f t="shared" si="16"/>
        <v>185596</v>
      </c>
      <c r="E116" s="836">
        <v>0</v>
      </c>
      <c r="F116" s="837">
        <v>0</v>
      </c>
      <c r="G116" s="836">
        <f t="shared" si="14"/>
        <v>0</v>
      </c>
      <c r="H116" s="795">
        <f t="shared" si="15"/>
        <v>185596</v>
      </c>
      <c r="L116" s="790" t="s">
        <v>189</v>
      </c>
      <c r="M116" s="857">
        <v>700000</v>
      </c>
      <c r="N116" s="823">
        <f t="shared" si="17"/>
        <v>420000</v>
      </c>
      <c r="O116" s="823">
        <f t="shared" si="18"/>
        <v>140000</v>
      </c>
      <c r="P116" s="824">
        <f t="shared" si="19"/>
        <v>140000</v>
      </c>
    </row>
    <row r="117" spans="1:16" ht="12.75">
      <c r="A117" s="946"/>
      <c r="B117" s="789">
        <v>53214010000000</v>
      </c>
      <c r="C117" s="790" t="s">
        <v>52</v>
      </c>
      <c r="D117" s="836">
        <f t="shared" si="16"/>
        <v>32000</v>
      </c>
      <c r="E117" s="841">
        <v>0</v>
      </c>
      <c r="F117" s="837">
        <v>0</v>
      </c>
      <c r="G117" s="836">
        <f t="shared" si="14"/>
        <v>0</v>
      </c>
      <c r="H117" s="795">
        <f t="shared" si="15"/>
        <v>32000</v>
      </c>
      <c r="L117" s="790" t="s">
        <v>192</v>
      </c>
      <c r="M117" s="857">
        <v>200000</v>
      </c>
      <c r="N117" s="823">
        <f t="shared" si="17"/>
        <v>120000</v>
      </c>
      <c r="O117" s="823">
        <f t="shared" si="18"/>
        <v>40000</v>
      </c>
      <c r="P117" s="824">
        <f t="shared" si="19"/>
        <v>40000</v>
      </c>
    </row>
    <row r="118" spans="1:16" ht="12.75">
      <c r="A118" s="946"/>
      <c r="B118" s="789">
        <v>53214040000000</v>
      </c>
      <c r="C118" s="790" t="s">
        <v>188</v>
      </c>
      <c r="D118" s="836">
        <f t="shared" si="16"/>
        <v>44000</v>
      </c>
      <c r="E118" s="841">
        <v>0</v>
      </c>
      <c r="F118" s="837">
        <v>0</v>
      </c>
      <c r="G118" s="836">
        <f t="shared" si="14"/>
        <v>0</v>
      </c>
      <c r="H118" s="795">
        <f t="shared" si="15"/>
        <v>44000</v>
      </c>
      <c r="L118" s="790" t="s">
        <v>190</v>
      </c>
      <c r="M118" s="857">
        <v>0</v>
      </c>
      <c r="N118" s="823">
        <f t="shared" si="17"/>
        <v>0</v>
      </c>
      <c r="O118" s="823">
        <f t="shared" si="18"/>
        <v>0</v>
      </c>
      <c r="P118" s="824">
        <f t="shared" si="19"/>
        <v>0</v>
      </c>
    </row>
    <row r="119" spans="1:16" ht="14.25" customHeight="1">
      <c r="A119" s="946"/>
      <c r="B119" s="796">
        <v>53204020100000</v>
      </c>
      <c r="C119" s="790" t="s">
        <v>180</v>
      </c>
      <c r="D119" s="836">
        <f t="shared" si="16"/>
        <v>298286</v>
      </c>
      <c r="E119" s="836">
        <v>0</v>
      </c>
      <c r="F119" s="837">
        <v>0</v>
      </c>
      <c r="G119" s="836">
        <f t="shared" si="14"/>
        <v>0</v>
      </c>
      <c r="H119" s="795">
        <f t="shared" si="15"/>
        <v>298286</v>
      </c>
      <c r="L119" s="790" t="s">
        <v>64</v>
      </c>
      <c r="M119" s="857">
        <v>1263690.752</v>
      </c>
      <c r="N119" s="823">
        <f t="shared" si="17"/>
        <v>758214.4512</v>
      </c>
      <c r="O119" s="823">
        <f t="shared" si="18"/>
        <v>252738.15040000004</v>
      </c>
      <c r="P119" s="824">
        <f t="shared" si="19"/>
        <v>252738.15040000004</v>
      </c>
    </row>
    <row r="120" spans="1:16" ht="12.75">
      <c r="A120" s="946"/>
      <c r="B120" s="784"/>
      <c r="C120" s="785" t="s">
        <v>55</v>
      </c>
      <c r="D120" s="122">
        <f>SUM(D121:D128)</f>
        <v>432738.15040000004</v>
      </c>
      <c r="E120" s="821"/>
      <c r="F120" s="821"/>
      <c r="G120" s="122">
        <f>SUM(G121:G128)</f>
        <v>189000</v>
      </c>
      <c r="H120" s="788">
        <f>SUM(H121:H128)</f>
        <v>621738.1504</v>
      </c>
      <c r="L120" s="785" t="s">
        <v>65</v>
      </c>
      <c r="M120" s="942">
        <v>0</v>
      </c>
      <c r="N120" s="943"/>
      <c r="O120" s="943"/>
      <c r="P120" s="944"/>
    </row>
    <row r="121" spans="1:16" ht="12.75">
      <c r="A121" s="946"/>
      <c r="B121" s="789">
        <v>53207010000000</v>
      </c>
      <c r="C121" s="790" t="s">
        <v>56</v>
      </c>
      <c r="D121" s="836">
        <f>P113</f>
        <v>0</v>
      </c>
      <c r="E121" s="836">
        <v>0</v>
      </c>
      <c r="F121" s="837">
        <v>0</v>
      </c>
      <c r="G121" s="836">
        <f aca="true" t="shared" si="20" ref="G121:G128">E121*F121</f>
        <v>0</v>
      </c>
      <c r="H121" s="795">
        <f aca="true" t="shared" si="21" ref="H121:H128">D121+G121</f>
        <v>0</v>
      </c>
      <c r="L121" s="790" t="s">
        <v>99</v>
      </c>
      <c r="M121" s="857">
        <v>0</v>
      </c>
      <c r="N121" s="823">
        <f>+M121*0.6</f>
        <v>0</v>
      </c>
      <c r="O121" s="823">
        <f>+M121*0.2</f>
        <v>0</v>
      </c>
      <c r="P121" s="824">
        <f>+M121*0.2</f>
        <v>0</v>
      </c>
    </row>
    <row r="122" spans="1:16" ht="12.75">
      <c r="A122" s="946"/>
      <c r="B122" s="789">
        <v>53207020000000</v>
      </c>
      <c r="C122" s="790" t="s">
        <v>57</v>
      </c>
      <c r="D122" s="836">
        <f>P114</f>
        <v>0</v>
      </c>
      <c r="E122" s="836">
        <v>0</v>
      </c>
      <c r="F122" s="837">
        <v>0</v>
      </c>
      <c r="G122" s="836">
        <f t="shared" si="20"/>
        <v>0</v>
      </c>
      <c r="H122" s="795">
        <f t="shared" si="21"/>
        <v>0</v>
      </c>
      <c r="L122" s="790" t="s">
        <v>100</v>
      </c>
      <c r="M122" s="857">
        <v>0</v>
      </c>
      <c r="N122" s="823">
        <f aca="true" t="shared" si="22" ref="N122:N127">+M122*0.6</f>
        <v>0</v>
      </c>
      <c r="O122" s="823">
        <f aca="true" t="shared" si="23" ref="O122:O127">+M122*0.2</f>
        <v>0</v>
      </c>
      <c r="P122" s="824">
        <f aca="true" t="shared" si="24" ref="P122:P127">+M122*0.2</f>
        <v>0</v>
      </c>
    </row>
    <row r="123" spans="1:16" ht="12.75">
      <c r="A123" s="946"/>
      <c r="B123" s="789">
        <v>53208020000000</v>
      </c>
      <c r="C123" s="790" t="s">
        <v>171</v>
      </c>
      <c r="D123" s="836">
        <f>P115</f>
        <v>0</v>
      </c>
      <c r="E123" s="836">
        <v>0</v>
      </c>
      <c r="F123" s="837">
        <v>0</v>
      </c>
      <c r="G123" s="836">
        <f t="shared" si="20"/>
        <v>0</v>
      </c>
      <c r="H123" s="795">
        <f t="shared" si="21"/>
        <v>0</v>
      </c>
      <c r="L123" s="790" t="s">
        <v>193</v>
      </c>
      <c r="M123" s="857">
        <v>0</v>
      </c>
      <c r="N123" s="823">
        <f t="shared" si="22"/>
        <v>0</v>
      </c>
      <c r="O123" s="823">
        <f t="shared" si="23"/>
        <v>0</v>
      </c>
      <c r="P123" s="824">
        <f t="shared" si="24"/>
        <v>0</v>
      </c>
    </row>
    <row r="124" spans="1:16" ht="12.75">
      <c r="A124" s="946"/>
      <c r="B124" s="789">
        <v>53208990000000</v>
      </c>
      <c r="C124" s="790" t="s">
        <v>189</v>
      </c>
      <c r="D124" s="836">
        <f>P116</f>
        <v>140000</v>
      </c>
      <c r="E124" s="836">
        <v>0</v>
      </c>
      <c r="F124" s="837">
        <v>0</v>
      </c>
      <c r="G124" s="836">
        <f t="shared" si="20"/>
        <v>0</v>
      </c>
      <c r="H124" s="795">
        <f t="shared" si="21"/>
        <v>140000</v>
      </c>
      <c r="L124" s="790" t="s">
        <v>102</v>
      </c>
      <c r="M124" s="857">
        <v>0</v>
      </c>
      <c r="N124" s="823">
        <f t="shared" si="22"/>
        <v>0</v>
      </c>
      <c r="O124" s="823">
        <f t="shared" si="23"/>
        <v>0</v>
      </c>
      <c r="P124" s="824">
        <f t="shared" si="24"/>
        <v>0</v>
      </c>
    </row>
    <row r="125" spans="1:16" ht="12.75">
      <c r="A125" s="946"/>
      <c r="B125" s="796">
        <v>53210020300000</v>
      </c>
      <c r="C125" s="790" t="s">
        <v>191</v>
      </c>
      <c r="D125" s="403">
        <v>0</v>
      </c>
      <c r="E125" s="403">
        <v>7560</v>
      </c>
      <c r="F125" s="404">
        <v>25</v>
      </c>
      <c r="G125" s="794">
        <f t="shared" si="20"/>
        <v>189000</v>
      </c>
      <c r="H125" s="795">
        <f t="shared" si="21"/>
        <v>189000</v>
      </c>
      <c r="L125" s="790" t="s">
        <v>194</v>
      </c>
      <c r="M125" s="857">
        <v>0</v>
      </c>
      <c r="N125" s="823">
        <f t="shared" si="22"/>
        <v>0</v>
      </c>
      <c r="O125" s="823">
        <f t="shared" si="23"/>
        <v>0</v>
      </c>
      <c r="P125" s="824">
        <f t="shared" si="24"/>
        <v>0</v>
      </c>
    </row>
    <row r="126" spans="1:16" ht="12.75">
      <c r="A126" s="946"/>
      <c r="B126" s="789">
        <v>53208990000000</v>
      </c>
      <c r="C126" s="790" t="s">
        <v>192</v>
      </c>
      <c r="D126" s="794">
        <f>P117</f>
        <v>40000</v>
      </c>
      <c r="E126" s="794">
        <v>0</v>
      </c>
      <c r="F126" s="404">
        <v>0</v>
      </c>
      <c r="G126" s="794">
        <f t="shared" si="20"/>
        <v>0</v>
      </c>
      <c r="H126" s="795">
        <f t="shared" si="21"/>
        <v>40000</v>
      </c>
      <c r="L126" s="790" t="s">
        <v>104</v>
      </c>
      <c r="M126" s="857">
        <v>0</v>
      </c>
      <c r="N126" s="823">
        <f t="shared" si="22"/>
        <v>0</v>
      </c>
      <c r="O126" s="823">
        <f t="shared" si="23"/>
        <v>0</v>
      </c>
      <c r="P126" s="824">
        <f t="shared" si="24"/>
        <v>0</v>
      </c>
    </row>
    <row r="127" spans="1:16" ht="12.75">
      <c r="A127" s="946"/>
      <c r="B127" s="789">
        <v>53209990000000</v>
      </c>
      <c r="C127" s="790" t="s">
        <v>190</v>
      </c>
      <c r="D127" s="794">
        <f>P118</f>
        <v>0</v>
      </c>
      <c r="E127" s="794">
        <v>0</v>
      </c>
      <c r="F127" s="404">
        <v>0</v>
      </c>
      <c r="G127" s="794">
        <f t="shared" si="20"/>
        <v>0</v>
      </c>
      <c r="H127" s="795">
        <f t="shared" si="21"/>
        <v>0</v>
      </c>
      <c r="L127" s="790" t="s">
        <v>224</v>
      </c>
      <c r="M127" s="857">
        <v>2500000</v>
      </c>
      <c r="N127" s="823">
        <f t="shared" si="22"/>
        <v>1500000</v>
      </c>
      <c r="O127" s="823">
        <f t="shared" si="23"/>
        <v>500000</v>
      </c>
      <c r="P127" s="824">
        <f t="shared" si="24"/>
        <v>500000</v>
      </c>
    </row>
    <row r="128" spans="1:8" ht="12.75">
      <c r="A128" s="946"/>
      <c r="B128" s="789">
        <v>53210020100000</v>
      </c>
      <c r="C128" s="790" t="s">
        <v>64</v>
      </c>
      <c r="D128" s="794">
        <f>P119</f>
        <v>252738.15040000004</v>
      </c>
      <c r="E128" s="794">
        <v>0</v>
      </c>
      <c r="F128" s="404">
        <v>0</v>
      </c>
      <c r="G128" s="794">
        <f t="shared" si="20"/>
        <v>0</v>
      </c>
      <c r="H128" s="795">
        <f t="shared" si="21"/>
        <v>252738.15040000004</v>
      </c>
    </row>
    <row r="129" spans="1:8" ht="12.75">
      <c r="A129" s="946"/>
      <c r="B129" s="784"/>
      <c r="C129" s="785" t="s">
        <v>65</v>
      </c>
      <c r="D129" s="122">
        <f>SUM(D130:D136)</f>
        <v>500000</v>
      </c>
      <c r="E129" s="821"/>
      <c r="F129" s="821"/>
      <c r="G129" s="122">
        <f>SUM(G130:G136)</f>
        <v>0</v>
      </c>
      <c r="H129" s="788">
        <f>SUM(H130:H136)</f>
        <v>500000</v>
      </c>
    </row>
    <row r="130" spans="1:8" ht="12.75">
      <c r="A130" s="946"/>
      <c r="B130" s="789">
        <v>53206030000000</v>
      </c>
      <c r="C130" s="790" t="s">
        <v>99</v>
      </c>
      <c r="D130" s="836">
        <f>P121</f>
        <v>0</v>
      </c>
      <c r="E130" s="836">
        <v>0</v>
      </c>
      <c r="F130" s="837">
        <v>0</v>
      </c>
      <c r="G130" s="794">
        <f aca="true" t="shared" si="25" ref="G130:G136">E130*F130</f>
        <v>0</v>
      </c>
      <c r="H130" s="795">
        <f aca="true" t="shared" si="26" ref="H130:H136">D130+G130</f>
        <v>0</v>
      </c>
    </row>
    <row r="131" spans="1:8" ht="12.75">
      <c r="A131" s="946"/>
      <c r="B131" s="789">
        <v>53206040000000</v>
      </c>
      <c r="C131" s="790" t="s">
        <v>100</v>
      </c>
      <c r="D131" s="836">
        <f aca="true" t="shared" si="27" ref="D131:D136">P122</f>
        <v>0</v>
      </c>
      <c r="E131" s="836">
        <v>0</v>
      </c>
      <c r="F131" s="837">
        <v>0</v>
      </c>
      <c r="G131" s="794">
        <f t="shared" si="25"/>
        <v>0</v>
      </c>
      <c r="H131" s="795">
        <f t="shared" si="26"/>
        <v>0</v>
      </c>
    </row>
    <row r="132" spans="1:8" ht="12.75">
      <c r="A132" s="946"/>
      <c r="B132" s="789">
        <v>53206060000000</v>
      </c>
      <c r="C132" s="790" t="s">
        <v>193</v>
      </c>
      <c r="D132" s="836">
        <f t="shared" si="27"/>
        <v>0</v>
      </c>
      <c r="E132" s="836">
        <v>0</v>
      </c>
      <c r="F132" s="837">
        <v>0</v>
      </c>
      <c r="G132" s="794">
        <f t="shared" si="25"/>
        <v>0</v>
      </c>
      <c r="H132" s="795">
        <f t="shared" si="26"/>
        <v>0</v>
      </c>
    </row>
    <row r="133" spans="1:8" ht="12.75">
      <c r="A133" s="946"/>
      <c r="B133" s="789">
        <v>53206070000000</v>
      </c>
      <c r="C133" s="790" t="s">
        <v>102</v>
      </c>
      <c r="D133" s="836">
        <f t="shared" si="27"/>
        <v>0</v>
      </c>
      <c r="E133" s="836">
        <v>0</v>
      </c>
      <c r="F133" s="837">
        <v>0</v>
      </c>
      <c r="G133" s="794">
        <f t="shared" si="25"/>
        <v>0</v>
      </c>
      <c r="H133" s="795">
        <f t="shared" si="26"/>
        <v>0</v>
      </c>
    </row>
    <row r="134" spans="1:8" ht="15.75" customHeight="1">
      <c r="A134" s="946"/>
      <c r="B134" s="789">
        <v>53206990000000</v>
      </c>
      <c r="C134" s="790" t="s">
        <v>194</v>
      </c>
      <c r="D134" s="836">
        <f t="shared" si="27"/>
        <v>0</v>
      </c>
      <c r="E134" s="836">
        <v>0</v>
      </c>
      <c r="F134" s="837">
        <v>0</v>
      </c>
      <c r="G134" s="794">
        <f t="shared" si="25"/>
        <v>0</v>
      </c>
      <c r="H134" s="795">
        <f t="shared" si="26"/>
        <v>0</v>
      </c>
    </row>
    <row r="135" spans="1:8" ht="12.75">
      <c r="A135" s="946"/>
      <c r="B135" s="789">
        <v>53208030000000</v>
      </c>
      <c r="C135" s="790" t="s">
        <v>104</v>
      </c>
      <c r="D135" s="836">
        <f t="shared" si="27"/>
        <v>0</v>
      </c>
      <c r="E135" s="836">
        <v>0</v>
      </c>
      <c r="F135" s="837">
        <v>0</v>
      </c>
      <c r="G135" s="794">
        <f t="shared" si="25"/>
        <v>0</v>
      </c>
      <c r="H135" s="795">
        <f t="shared" si="26"/>
        <v>0</v>
      </c>
    </row>
    <row r="136" spans="1:8" ht="12.75">
      <c r="A136" s="946"/>
      <c r="B136" s="789">
        <v>53206990000000</v>
      </c>
      <c r="C136" s="790" t="s">
        <v>224</v>
      </c>
      <c r="D136" s="836">
        <f t="shared" si="27"/>
        <v>500000</v>
      </c>
      <c r="E136" s="836">
        <v>0</v>
      </c>
      <c r="F136" s="837">
        <v>0</v>
      </c>
      <c r="G136" s="794">
        <f t="shared" si="25"/>
        <v>0</v>
      </c>
      <c r="H136" s="795">
        <f t="shared" si="26"/>
        <v>500000</v>
      </c>
    </row>
    <row r="137" spans="1:8" ht="12.75">
      <c r="A137" s="946"/>
      <c r="B137" s="784"/>
      <c r="C137" s="785" t="s">
        <v>66</v>
      </c>
      <c r="D137" s="122">
        <f>SUM(D138:D138)</f>
        <v>0</v>
      </c>
      <c r="E137" s="821"/>
      <c r="F137" s="821"/>
      <c r="G137" s="122">
        <f>SUM(G138:G138)</f>
        <v>375000</v>
      </c>
      <c r="H137" s="788">
        <f>SUM(H138:H138)</f>
        <v>375000</v>
      </c>
    </row>
    <row r="138" spans="1:10" ht="12.75">
      <c r="A138" s="946"/>
      <c r="B138" s="808"/>
      <c r="C138" s="809" t="s">
        <v>225</v>
      </c>
      <c r="D138" s="848">
        <v>0</v>
      </c>
      <c r="E138" s="848">
        <v>15000</v>
      </c>
      <c r="F138" s="286">
        <v>25</v>
      </c>
      <c r="G138" s="794">
        <f>E138*F138</f>
        <v>375000</v>
      </c>
      <c r="H138" s="810">
        <f>D138+G138</f>
        <v>375000</v>
      </c>
      <c r="I138" s="842" t="s">
        <v>228</v>
      </c>
      <c r="J138" s="843">
        <f>+H136+H135+H134+H133+H132+H131+H130+H128+H127+H126+H125+H124+H123+H122+H121+H119+H116+H115+H114+H113+H112+H110+H108+H107+H101+H100+H99+H97+H96+H95+H94+H93+H92+H91+H90+H89+H88+H87</f>
        <v>6232287.863091667</v>
      </c>
    </row>
    <row r="139" spans="1:10" ht="15" customHeight="1" thickBot="1">
      <c r="A139" s="947"/>
      <c r="B139" s="844"/>
      <c r="C139" s="814" t="s">
        <v>105</v>
      </c>
      <c r="D139" s="815">
        <f>SUM(D76,D103)</f>
        <v>36276687.09509166</v>
      </c>
      <c r="E139" s="816"/>
      <c r="F139" s="816"/>
      <c r="G139" s="815">
        <f>SUM(G76,G103)</f>
        <v>3169939.9418498026</v>
      </c>
      <c r="H139" s="817">
        <f>SUM(H76,H103)</f>
        <v>39446627.03694147</v>
      </c>
      <c r="I139" s="845" t="s">
        <v>229</v>
      </c>
      <c r="J139" s="846">
        <f>+H139-J138</f>
        <v>33214339.173849802</v>
      </c>
    </row>
    <row r="140" spans="1:8" ht="12.75">
      <c r="A140" s="959" t="s">
        <v>81</v>
      </c>
      <c r="B140" s="957" t="s">
        <v>75</v>
      </c>
      <c r="C140" s="948" t="s">
        <v>76</v>
      </c>
      <c r="D140" s="950" t="s">
        <v>77</v>
      </c>
      <c r="E140" s="952" t="s">
        <v>78</v>
      </c>
      <c r="F140" s="952"/>
      <c r="G140" s="952"/>
      <c r="H140" s="961" t="s">
        <v>237</v>
      </c>
    </row>
    <row r="141" spans="1:8" ht="40.5" customHeight="1" thickBot="1">
      <c r="A141" s="960"/>
      <c r="B141" s="958"/>
      <c r="C141" s="949"/>
      <c r="D141" s="951"/>
      <c r="E141" s="281" t="s">
        <v>67</v>
      </c>
      <c r="F141" s="282" t="s">
        <v>68</v>
      </c>
      <c r="G141" s="283" t="s">
        <v>6</v>
      </c>
      <c r="H141" s="962"/>
    </row>
    <row r="142" spans="1:8" ht="12.75">
      <c r="A142" s="945" t="s">
        <v>214</v>
      </c>
      <c r="B142" s="778"/>
      <c r="C142" s="779" t="s">
        <v>11</v>
      </c>
      <c r="D142" s="780">
        <f>+D143+D148</f>
        <v>106745054.738075</v>
      </c>
      <c r="E142" s="820"/>
      <c r="F142" s="820"/>
      <c r="G142" s="782">
        <f>SUM(G143,G148)</f>
        <v>8078943.436079052</v>
      </c>
      <c r="H142" s="783">
        <f>SUM(H143,H148)</f>
        <v>114823998.17415406</v>
      </c>
    </row>
    <row r="143" spans="1:8" ht="12.75">
      <c r="A143" s="946"/>
      <c r="B143" s="784"/>
      <c r="C143" s="785" t="s">
        <v>12</v>
      </c>
      <c r="D143" s="122">
        <f>SUM(D144:D147)</f>
        <v>95233100.4</v>
      </c>
      <c r="E143" s="821"/>
      <c r="F143" s="821"/>
      <c r="G143" s="787">
        <f>SUM(G144:G147)</f>
        <v>240000</v>
      </c>
      <c r="H143" s="788">
        <f>SUM(H144:H147)</f>
        <v>95473100.4</v>
      </c>
    </row>
    <row r="144" spans="1:8" ht="12.75">
      <c r="A144" s="946"/>
      <c r="B144" s="789">
        <v>53103040100000</v>
      </c>
      <c r="C144" s="790" t="s">
        <v>95</v>
      </c>
      <c r="D144" s="791">
        <f>+'F) Remuneraciones'!L29</f>
        <v>87402842.4</v>
      </c>
      <c r="E144" s="794">
        <v>0</v>
      </c>
      <c r="F144" s="822">
        <v>0</v>
      </c>
      <c r="G144" s="794">
        <f>E144*F144</f>
        <v>0</v>
      </c>
      <c r="H144" s="795">
        <f>D144+G144</f>
        <v>87402842.4</v>
      </c>
    </row>
    <row r="145" spans="1:9" ht="12.75">
      <c r="A145" s="946"/>
      <c r="B145" s="789">
        <v>53103050000000</v>
      </c>
      <c r="C145" s="790" t="s">
        <v>172</v>
      </c>
      <c r="D145" s="848">
        <v>0</v>
      </c>
      <c r="E145" s="284">
        <v>30000</v>
      </c>
      <c r="F145" s="285">
        <v>8</v>
      </c>
      <c r="G145" s="794">
        <f>E145*F145</f>
        <v>240000</v>
      </c>
      <c r="H145" s="795">
        <f>D145+G145</f>
        <v>240000</v>
      </c>
      <c r="I145" s="733" t="s">
        <v>532</v>
      </c>
    </row>
    <row r="146" spans="1:9" ht="12.75">
      <c r="A146" s="946"/>
      <c r="B146" s="796">
        <v>53103040400000</v>
      </c>
      <c r="C146" s="797" t="s">
        <v>173</v>
      </c>
      <c r="D146" s="848">
        <f>624758+7205500</f>
        <v>7830258</v>
      </c>
      <c r="E146" s="284">
        <v>0</v>
      </c>
      <c r="F146" s="285">
        <v>0</v>
      </c>
      <c r="G146" s="794">
        <f>E146*F146</f>
        <v>0</v>
      </c>
      <c r="H146" s="795">
        <f>D146+G146</f>
        <v>7830258</v>
      </c>
      <c r="I146" s="733" t="s">
        <v>519</v>
      </c>
    </row>
    <row r="147" spans="1:8" ht="12.75">
      <c r="A147" s="946"/>
      <c r="B147" s="789">
        <v>53103080010000</v>
      </c>
      <c r="C147" s="790" t="s">
        <v>174</v>
      </c>
      <c r="D147" s="848">
        <v>0</v>
      </c>
      <c r="E147" s="284">
        <v>0</v>
      </c>
      <c r="F147" s="285">
        <v>0</v>
      </c>
      <c r="G147" s="794">
        <f>E147*F147</f>
        <v>0</v>
      </c>
      <c r="H147" s="795">
        <f>D147+G147</f>
        <v>0</v>
      </c>
    </row>
    <row r="148" spans="1:8" ht="12.75">
      <c r="A148" s="946"/>
      <c r="B148" s="784"/>
      <c r="C148" s="785" t="s">
        <v>16</v>
      </c>
      <c r="D148" s="122">
        <f>SUM(D149:D168)</f>
        <v>11511954.338074999</v>
      </c>
      <c r="E148" s="821"/>
      <c r="F148" s="821"/>
      <c r="G148" s="122">
        <f>SUM(G149:G168)</f>
        <v>7838943.436079052</v>
      </c>
      <c r="H148" s="788">
        <f>SUM(H149:H168)</f>
        <v>19350897.77415405</v>
      </c>
    </row>
    <row r="149" spans="1:9" ht="14.25" customHeight="1">
      <c r="A149" s="946"/>
      <c r="B149" s="789">
        <v>53201010100000</v>
      </c>
      <c r="C149" s="798" t="s">
        <v>175</v>
      </c>
      <c r="D149" s="848">
        <v>0</v>
      </c>
      <c r="E149" s="848">
        <v>2000</v>
      </c>
      <c r="F149" s="285">
        <f>+'H) Detalle Datos'!M13</f>
        <v>1320</v>
      </c>
      <c r="G149" s="794">
        <f aca="true" t="shared" si="28" ref="G149:G168">E149*F149</f>
        <v>2640000</v>
      </c>
      <c r="H149" s="795">
        <f aca="true" t="shared" si="29" ref="H149:H154">D149+G149</f>
        <v>2640000</v>
      </c>
      <c r="I149" s="733" t="s">
        <v>526</v>
      </c>
    </row>
    <row r="150" spans="1:8" ht="12.75">
      <c r="A150" s="946"/>
      <c r="B150" s="789">
        <v>53201010100000</v>
      </c>
      <c r="C150" s="798" t="s">
        <v>176</v>
      </c>
      <c r="D150" s="848">
        <v>0</v>
      </c>
      <c r="E150" s="284">
        <f>+'H) Detalle Datos'!B32</f>
        <v>178.6210209605941</v>
      </c>
      <c r="F150" s="285">
        <f>+'H) Detalle Datos'!C30</f>
        <v>29106</v>
      </c>
      <c r="G150" s="794">
        <f t="shared" si="28"/>
        <v>5198943.436079052</v>
      </c>
      <c r="H150" s="795">
        <f t="shared" si="29"/>
        <v>5198943.436079052</v>
      </c>
    </row>
    <row r="151" spans="1:8" ht="12.75">
      <c r="A151" s="946"/>
      <c r="B151" s="789">
        <v>53201010100000</v>
      </c>
      <c r="C151" s="798" t="s">
        <v>177</v>
      </c>
      <c r="D151" s="848">
        <v>0</v>
      </c>
      <c r="E151" s="284">
        <v>0</v>
      </c>
      <c r="F151" s="285">
        <v>0</v>
      </c>
      <c r="G151" s="794">
        <f t="shared" si="28"/>
        <v>0</v>
      </c>
      <c r="H151" s="795">
        <f t="shared" si="29"/>
        <v>0</v>
      </c>
    </row>
    <row r="152" spans="1:8" ht="12.75">
      <c r="A152" s="946"/>
      <c r="B152" s="789">
        <v>53202010100000</v>
      </c>
      <c r="C152" s="790" t="s">
        <v>178</v>
      </c>
      <c r="D152" s="794">
        <f>+N80</f>
        <v>600000</v>
      </c>
      <c r="E152" s="794">
        <v>0</v>
      </c>
      <c r="F152" s="404">
        <v>0</v>
      </c>
      <c r="G152" s="794">
        <f t="shared" si="28"/>
        <v>0</v>
      </c>
      <c r="H152" s="795">
        <f t="shared" si="29"/>
        <v>600000</v>
      </c>
    </row>
    <row r="153" spans="1:8" ht="12.75">
      <c r="A153" s="946"/>
      <c r="B153" s="789">
        <v>53203010100000</v>
      </c>
      <c r="C153" s="790" t="s">
        <v>19</v>
      </c>
      <c r="D153" s="794">
        <f aca="true" t="shared" si="30" ref="D153:D168">+N81</f>
        <v>410105.403575</v>
      </c>
      <c r="E153" s="794">
        <v>0</v>
      </c>
      <c r="F153" s="404">
        <v>0</v>
      </c>
      <c r="G153" s="794">
        <f t="shared" si="28"/>
        <v>0</v>
      </c>
      <c r="H153" s="795">
        <f t="shared" si="29"/>
        <v>410105.403575</v>
      </c>
    </row>
    <row r="154" spans="1:8" ht="12.75">
      <c r="A154" s="946"/>
      <c r="B154" s="789">
        <v>53203030000000</v>
      </c>
      <c r="C154" s="790" t="s">
        <v>179</v>
      </c>
      <c r="D154" s="794">
        <f t="shared" si="30"/>
        <v>1728000</v>
      </c>
      <c r="E154" s="794">
        <v>0</v>
      </c>
      <c r="F154" s="404">
        <v>0</v>
      </c>
      <c r="G154" s="794">
        <f t="shared" si="28"/>
        <v>0</v>
      </c>
      <c r="H154" s="795">
        <f t="shared" si="29"/>
        <v>1728000</v>
      </c>
    </row>
    <row r="155" spans="1:8" ht="12.75">
      <c r="A155" s="946"/>
      <c r="B155" s="789">
        <v>53204030000000</v>
      </c>
      <c r="C155" s="790" t="s">
        <v>222</v>
      </c>
      <c r="D155" s="794">
        <f t="shared" si="30"/>
        <v>44232</v>
      </c>
      <c r="E155" s="794">
        <v>0</v>
      </c>
      <c r="F155" s="404">
        <v>0</v>
      </c>
      <c r="G155" s="794">
        <f t="shared" si="28"/>
        <v>0</v>
      </c>
      <c r="H155" s="795">
        <f>D155+G155</f>
        <v>44232</v>
      </c>
    </row>
    <row r="156" spans="1:8" ht="12.75">
      <c r="A156" s="946"/>
      <c r="B156" s="789">
        <v>53204100100001</v>
      </c>
      <c r="C156" s="790" t="s">
        <v>22</v>
      </c>
      <c r="D156" s="794">
        <f t="shared" si="30"/>
        <v>1500000</v>
      </c>
      <c r="E156" s="794">
        <v>0</v>
      </c>
      <c r="F156" s="404">
        <v>0</v>
      </c>
      <c r="G156" s="794">
        <f t="shared" si="28"/>
        <v>0</v>
      </c>
      <c r="H156" s="795">
        <f aca="true" t="shared" si="31" ref="H156:H168">D156+G156</f>
        <v>1500000</v>
      </c>
    </row>
    <row r="157" spans="1:8" ht="12.75">
      <c r="A157" s="946"/>
      <c r="B157" s="789">
        <v>53204130100000</v>
      </c>
      <c r="C157" s="790" t="s">
        <v>181</v>
      </c>
      <c r="D157" s="794">
        <f t="shared" si="30"/>
        <v>1800000</v>
      </c>
      <c r="E157" s="794">
        <v>0</v>
      </c>
      <c r="F157" s="404">
        <v>0</v>
      </c>
      <c r="G157" s="794">
        <f t="shared" si="28"/>
        <v>0</v>
      </c>
      <c r="H157" s="795">
        <f t="shared" si="31"/>
        <v>1800000</v>
      </c>
    </row>
    <row r="158" spans="1:8" ht="12.75">
      <c r="A158" s="946"/>
      <c r="B158" s="789">
        <v>53205010100000</v>
      </c>
      <c r="C158" s="790" t="s">
        <v>24</v>
      </c>
      <c r="D158" s="794">
        <f t="shared" si="30"/>
        <v>1776871.1499999997</v>
      </c>
      <c r="E158" s="794">
        <v>0</v>
      </c>
      <c r="F158" s="404">
        <v>0</v>
      </c>
      <c r="G158" s="794">
        <f t="shared" si="28"/>
        <v>0</v>
      </c>
      <c r="H158" s="795">
        <f t="shared" si="31"/>
        <v>1776871.1499999997</v>
      </c>
    </row>
    <row r="159" spans="1:8" ht="12.75">
      <c r="A159" s="946"/>
      <c r="B159" s="789">
        <v>53205020100000</v>
      </c>
      <c r="C159" s="790" t="s">
        <v>25</v>
      </c>
      <c r="D159" s="794">
        <f t="shared" si="30"/>
        <v>217063.59999999998</v>
      </c>
      <c r="E159" s="794">
        <v>0</v>
      </c>
      <c r="F159" s="404">
        <v>0</v>
      </c>
      <c r="G159" s="794">
        <f t="shared" si="28"/>
        <v>0</v>
      </c>
      <c r="H159" s="795">
        <f t="shared" si="31"/>
        <v>217063.59999999998</v>
      </c>
    </row>
    <row r="160" spans="1:8" ht="12.75">
      <c r="A160" s="946"/>
      <c r="B160" s="789">
        <v>53205030100000</v>
      </c>
      <c r="C160" s="790" t="s">
        <v>26</v>
      </c>
      <c r="D160" s="794">
        <f t="shared" si="30"/>
        <v>2246153.1435000002</v>
      </c>
      <c r="E160" s="794">
        <v>0</v>
      </c>
      <c r="F160" s="404">
        <v>0</v>
      </c>
      <c r="G160" s="794">
        <f t="shared" si="28"/>
        <v>0</v>
      </c>
      <c r="H160" s="795">
        <f t="shared" si="31"/>
        <v>2246153.1435000002</v>
      </c>
    </row>
    <row r="161" spans="1:8" ht="12.75">
      <c r="A161" s="946"/>
      <c r="B161" s="789">
        <v>53205050100000</v>
      </c>
      <c r="C161" s="790" t="s">
        <v>27</v>
      </c>
      <c r="D161" s="794">
        <f t="shared" si="30"/>
        <v>0</v>
      </c>
      <c r="E161" s="794">
        <v>0</v>
      </c>
      <c r="F161" s="404">
        <v>0</v>
      </c>
      <c r="G161" s="794">
        <f t="shared" si="28"/>
        <v>0</v>
      </c>
      <c r="H161" s="795">
        <f t="shared" si="31"/>
        <v>0</v>
      </c>
    </row>
    <row r="162" spans="1:8" ht="12.75">
      <c r="A162" s="946"/>
      <c r="B162" s="789">
        <v>53205070100000</v>
      </c>
      <c r="C162" s="790" t="s">
        <v>29</v>
      </c>
      <c r="D162" s="794">
        <f t="shared" si="30"/>
        <v>192000</v>
      </c>
      <c r="E162" s="794">
        <v>0</v>
      </c>
      <c r="F162" s="404">
        <v>0</v>
      </c>
      <c r="G162" s="794">
        <f t="shared" si="28"/>
        <v>0</v>
      </c>
      <c r="H162" s="795">
        <f t="shared" si="31"/>
        <v>192000</v>
      </c>
    </row>
    <row r="163" spans="1:8" ht="12.75">
      <c r="A163" s="946"/>
      <c r="B163" s="789">
        <v>53208010100000</v>
      </c>
      <c r="C163" s="790" t="s">
        <v>30</v>
      </c>
      <c r="D163" s="794">
        <f t="shared" si="30"/>
        <v>83085.37929999999</v>
      </c>
      <c r="E163" s="794">
        <v>0</v>
      </c>
      <c r="F163" s="404">
        <v>0</v>
      </c>
      <c r="G163" s="794">
        <f t="shared" si="28"/>
        <v>0</v>
      </c>
      <c r="H163" s="795">
        <f t="shared" si="31"/>
        <v>83085.37929999999</v>
      </c>
    </row>
    <row r="164" spans="1:8" ht="12" customHeight="1">
      <c r="A164" s="946"/>
      <c r="B164" s="789">
        <v>53208070100001</v>
      </c>
      <c r="C164" s="790" t="s">
        <v>31</v>
      </c>
      <c r="D164" s="794">
        <f t="shared" si="30"/>
        <v>0</v>
      </c>
      <c r="E164" s="794">
        <v>0</v>
      </c>
      <c r="F164" s="404">
        <v>0</v>
      </c>
      <c r="G164" s="794">
        <f t="shared" si="28"/>
        <v>0</v>
      </c>
      <c r="H164" s="795">
        <f t="shared" si="31"/>
        <v>0</v>
      </c>
    </row>
    <row r="165" spans="1:8" ht="12.75">
      <c r="A165" s="946"/>
      <c r="B165" s="789">
        <v>53208100100001</v>
      </c>
      <c r="C165" s="790" t="s">
        <v>182</v>
      </c>
      <c r="D165" s="794">
        <f t="shared" si="30"/>
        <v>0</v>
      </c>
      <c r="E165" s="794">
        <v>0</v>
      </c>
      <c r="F165" s="404">
        <v>0</v>
      </c>
      <c r="G165" s="794">
        <f t="shared" si="28"/>
        <v>0</v>
      </c>
      <c r="H165" s="795">
        <f t="shared" si="31"/>
        <v>0</v>
      </c>
    </row>
    <row r="166" spans="1:12" ht="12.75">
      <c r="A166" s="946"/>
      <c r="B166" s="789">
        <v>53211030000000</v>
      </c>
      <c r="C166" s="790" t="s">
        <v>32</v>
      </c>
      <c r="D166" s="794">
        <f t="shared" si="30"/>
        <v>0</v>
      </c>
      <c r="E166" s="794">
        <v>0</v>
      </c>
      <c r="F166" s="404">
        <v>0</v>
      </c>
      <c r="G166" s="794">
        <f t="shared" si="28"/>
        <v>0</v>
      </c>
      <c r="H166" s="795">
        <f t="shared" si="31"/>
        <v>0</v>
      </c>
      <c r="L166" s="4" t="s">
        <v>226</v>
      </c>
    </row>
    <row r="167" spans="1:8" ht="12.75">
      <c r="A167" s="946"/>
      <c r="B167" s="789">
        <v>53212020100000</v>
      </c>
      <c r="C167" s="790" t="s">
        <v>183</v>
      </c>
      <c r="D167" s="794">
        <f t="shared" si="30"/>
        <v>818443.6616999999</v>
      </c>
      <c r="E167" s="794">
        <v>0</v>
      </c>
      <c r="F167" s="404">
        <v>0</v>
      </c>
      <c r="G167" s="794">
        <f t="shared" si="28"/>
        <v>0</v>
      </c>
      <c r="H167" s="795">
        <f t="shared" si="31"/>
        <v>818443.6616999999</v>
      </c>
    </row>
    <row r="168" spans="1:8" ht="12.75">
      <c r="A168" s="946"/>
      <c r="B168" s="789">
        <v>53214020000000</v>
      </c>
      <c r="C168" s="790" t="s">
        <v>184</v>
      </c>
      <c r="D168" s="794">
        <f t="shared" si="30"/>
        <v>96000</v>
      </c>
      <c r="E168" s="794">
        <v>0</v>
      </c>
      <c r="F168" s="404">
        <v>0</v>
      </c>
      <c r="G168" s="794">
        <f t="shared" si="28"/>
        <v>0</v>
      </c>
      <c r="H168" s="795">
        <f t="shared" si="31"/>
        <v>96000</v>
      </c>
    </row>
    <row r="169" spans="1:8" ht="12.75">
      <c r="A169" s="946"/>
      <c r="B169" s="799"/>
      <c r="C169" s="800" t="s">
        <v>34</v>
      </c>
      <c r="D169" s="121">
        <f>SUM(D170,D175,D177,D187,D196,D204)</f>
        <v>7991909.2512</v>
      </c>
      <c r="E169" s="833"/>
      <c r="F169" s="833"/>
      <c r="G169" s="121">
        <f>SUM(G170,G175,G177,G187,G196,G204)</f>
        <v>1427520</v>
      </c>
      <c r="H169" s="834">
        <f>SUM(H170,H175,H177,H187,H196,H204)</f>
        <v>9419429.2512</v>
      </c>
    </row>
    <row r="170" spans="1:8" ht="12.75">
      <c r="A170" s="946"/>
      <c r="B170" s="784"/>
      <c r="C170" s="785" t="s">
        <v>35</v>
      </c>
      <c r="D170" s="122">
        <f>SUM(D171:D174)</f>
        <v>0</v>
      </c>
      <c r="E170" s="821"/>
      <c r="F170" s="821"/>
      <c r="G170" s="122">
        <f>SUM(G171:G174)</f>
        <v>480000</v>
      </c>
      <c r="H170" s="835">
        <f>SUM(H171:H174)</f>
        <v>480000</v>
      </c>
    </row>
    <row r="171" spans="1:8" ht="12.75">
      <c r="A171" s="946"/>
      <c r="B171" s="789">
        <v>53202020100000</v>
      </c>
      <c r="C171" s="790" t="s">
        <v>185</v>
      </c>
      <c r="D171" s="848">
        <v>0</v>
      </c>
      <c r="E171" s="284">
        <v>40000</v>
      </c>
      <c r="F171" s="286">
        <v>11</v>
      </c>
      <c r="G171" s="794">
        <f>E171*F171</f>
        <v>440000</v>
      </c>
      <c r="H171" s="795">
        <f>D171+G171</f>
        <v>440000</v>
      </c>
    </row>
    <row r="172" spans="1:9" ht="12.75">
      <c r="A172" s="946"/>
      <c r="B172" s="789">
        <v>53202030000000</v>
      </c>
      <c r="C172" s="790" t="s">
        <v>186</v>
      </c>
      <c r="D172" s="848">
        <v>0</v>
      </c>
      <c r="E172" s="284">
        <v>20000</v>
      </c>
      <c r="F172" s="286">
        <v>2</v>
      </c>
      <c r="G172" s="794">
        <f>E172*F172</f>
        <v>40000</v>
      </c>
      <c r="H172" s="795">
        <f>D172+G172</f>
        <v>40000</v>
      </c>
      <c r="I172" s="733" t="s">
        <v>528</v>
      </c>
    </row>
    <row r="173" spans="1:8" ht="12.75">
      <c r="A173" s="946"/>
      <c r="B173" s="789">
        <v>53211020000000</v>
      </c>
      <c r="C173" s="790" t="s">
        <v>41</v>
      </c>
      <c r="D173" s="836">
        <f>+N99</f>
        <v>0</v>
      </c>
      <c r="E173" s="836">
        <v>0</v>
      </c>
      <c r="F173" s="837">
        <v>0</v>
      </c>
      <c r="G173" s="794">
        <f>E173*F173</f>
        <v>0</v>
      </c>
      <c r="H173" s="795">
        <f>D173+G173</f>
        <v>0</v>
      </c>
    </row>
    <row r="174" spans="1:8" ht="12.75">
      <c r="A174" s="946"/>
      <c r="B174" s="789">
        <v>53101040600000</v>
      </c>
      <c r="C174" s="790" t="s">
        <v>187</v>
      </c>
      <c r="D174" s="836">
        <f>+N100</f>
        <v>0</v>
      </c>
      <c r="E174" s="836">
        <v>0</v>
      </c>
      <c r="F174" s="837">
        <v>0</v>
      </c>
      <c r="G174" s="794">
        <f>E174*F174</f>
        <v>0</v>
      </c>
      <c r="H174" s="795">
        <f>D174+G174</f>
        <v>0</v>
      </c>
    </row>
    <row r="175" spans="1:8" ht="12.75">
      <c r="A175" s="946"/>
      <c r="B175" s="784"/>
      <c r="C175" s="785" t="s">
        <v>42</v>
      </c>
      <c r="D175" s="122">
        <f>SUM(D176)</f>
        <v>0</v>
      </c>
      <c r="E175" s="821"/>
      <c r="F175" s="821"/>
      <c r="G175" s="804">
        <f>SUM(G176:G176)</f>
        <v>0</v>
      </c>
      <c r="H175" s="835">
        <f>SUM(H176:H176)</f>
        <v>0</v>
      </c>
    </row>
    <row r="176" spans="1:8" ht="12.75">
      <c r="A176" s="946"/>
      <c r="B176" s="807">
        <v>53205990000000</v>
      </c>
      <c r="C176" s="790" t="s">
        <v>44</v>
      </c>
      <c r="D176" s="836">
        <f>+N102</f>
        <v>0</v>
      </c>
      <c r="E176" s="836">
        <v>0</v>
      </c>
      <c r="F176" s="837">
        <v>0</v>
      </c>
      <c r="G176" s="794">
        <f>E176*F176</f>
        <v>0</v>
      </c>
      <c r="H176" s="795">
        <f>D176+G176</f>
        <v>0</v>
      </c>
    </row>
    <row r="177" spans="1:8" ht="12.75">
      <c r="A177" s="946"/>
      <c r="B177" s="784"/>
      <c r="C177" s="785" t="s">
        <v>45</v>
      </c>
      <c r="D177" s="122">
        <f>SUM(D178:D186)</f>
        <v>5193694.8</v>
      </c>
      <c r="E177" s="821"/>
      <c r="F177" s="821"/>
      <c r="G177" s="122">
        <f>SUM(G178:G186)</f>
        <v>0</v>
      </c>
      <c r="H177" s="835">
        <f>SUM(H178:H186)</f>
        <v>5193694.8</v>
      </c>
    </row>
    <row r="178" spans="1:8" ht="12.75">
      <c r="A178" s="946"/>
      <c r="B178" s="789">
        <v>53204010000000</v>
      </c>
      <c r="C178" s="790" t="s">
        <v>47</v>
      </c>
      <c r="D178" s="836">
        <f>+N104</f>
        <v>724206.6</v>
      </c>
      <c r="E178" s="836">
        <v>0</v>
      </c>
      <c r="F178" s="837">
        <v>0</v>
      </c>
      <c r="G178" s="836">
        <f aca="true" t="shared" si="32" ref="G178:G186">E178*F178</f>
        <v>0</v>
      </c>
      <c r="H178" s="795">
        <f aca="true" t="shared" si="33" ref="H178:H186">D178+G178</f>
        <v>724206.6</v>
      </c>
    </row>
    <row r="179" spans="1:8" ht="12.75">
      <c r="A179" s="946"/>
      <c r="B179" s="807">
        <v>53204040200000</v>
      </c>
      <c r="C179" s="790" t="s">
        <v>223</v>
      </c>
      <c r="D179" s="836">
        <f>+N105</f>
        <v>60000</v>
      </c>
      <c r="E179" s="836">
        <v>0</v>
      </c>
      <c r="F179" s="837">
        <v>0</v>
      </c>
      <c r="G179" s="836">
        <f t="shared" si="32"/>
        <v>0</v>
      </c>
      <c r="H179" s="795">
        <f t="shared" si="33"/>
        <v>60000</v>
      </c>
    </row>
    <row r="180" spans="1:8" ht="12.75">
      <c r="A180" s="946"/>
      <c r="B180" s="789">
        <v>53204060000000</v>
      </c>
      <c r="C180" s="790" t="s">
        <v>49</v>
      </c>
      <c r="D180" s="836">
        <f>+N106</f>
        <v>0</v>
      </c>
      <c r="E180" s="836">
        <v>0</v>
      </c>
      <c r="F180" s="837">
        <v>0</v>
      </c>
      <c r="G180" s="836">
        <f t="shared" si="32"/>
        <v>0</v>
      </c>
      <c r="H180" s="795">
        <f t="shared" si="33"/>
        <v>0</v>
      </c>
    </row>
    <row r="181" spans="1:8" ht="12.75">
      <c r="A181" s="946"/>
      <c r="B181" s="789">
        <v>53204070000000</v>
      </c>
      <c r="C181" s="790" t="s">
        <v>50</v>
      </c>
      <c r="D181" s="836">
        <f>+N107</f>
        <v>2279842.1999999997</v>
      </c>
      <c r="E181" s="836">
        <v>0</v>
      </c>
      <c r="F181" s="837">
        <v>0</v>
      </c>
      <c r="G181" s="836">
        <f t="shared" si="32"/>
        <v>0</v>
      </c>
      <c r="H181" s="795">
        <f t="shared" si="33"/>
        <v>2279842.1999999997</v>
      </c>
    </row>
    <row r="182" spans="1:8" ht="12.75">
      <c r="A182" s="946"/>
      <c r="B182" s="789">
        <v>53204080000000</v>
      </c>
      <c r="C182" s="790" t="s">
        <v>51</v>
      </c>
      <c r="D182" s="836">
        <f>+N108</f>
        <v>556788</v>
      </c>
      <c r="E182" s="836">
        <v>0</v>
      </c>
      <c r="F182" s="837">
        <v>0</v>
      </c>
      <c r="G182" s="836">
        <f t="shared" si="32"/>
        <v>0</v>
      </c>
      <c r="H182" s="795">
        <f t="shared" si="33"/>
        <v>556788</v>
      </c>
    </row>
    <row r="183" spans="1:9" ht="12.75">
      <c r="A183" s="946"/>
      <c r="B183" s="789">
        <v>53204090000000</v>
      </c>
      <c r="C183" s="790" t="s">
        <v>524</v>
      </c>
      <c r="D183" s="836">
        <v>450000</v>
      </c>
      <c r="E183" s="836"/>
      <c r="F183" s="837"/>
      <c r="G183" s="836">
        <f t="shared" si="32"/>
        <v>0</v>
      </c>
      <c r="H183" s="795">
        <f t="shared" si="33"/>
        <v>450000</v>
      </c>
      <c r="I183" s="733" t="s">
        <v>525</v>
      </c>
    </row>
    <row r="184" spans="1:8" ht="12.75">
      <c r="A184" s="946"/>
      <c r="B184" s="789">
        <v>53214010000000</v>
      </c>
      <c r="C184" s="790" t="s">
        <v>52</v>
      </c>
      <c r="D184" s="836">
        <f>+N109</f>
        <v>96000</v>
      </c>
      <c r="E184" s="841">
        <v>0</v>
      </c>
      <c r="F184" s="837">
        <v>0</v>
      </c>
      <c r="G184" s="836">
        <f t="shared" si="32"/>
        <v>0</v>
      </c>
      <c r="H184" s="795">
        <f t="shared" si="33"/>
        <v>96000</v>
      </c>
    </row>
    <row r="185" spans="1:8" ht="12.75">
      <c r="A185" s="946"/>
      <c r="B185" s="789">
        <v>53214040000000</v>
      </c>
      <c r="C185" s="790" t="s">
        <v>188</v>
      </c>
      <c r="D185" s="836">
        <f>+N110</f>
        <v>132000</v>
      </c>
      <c r="E185" s="841">
        <v>0</v>
      </c>
      <c r="F185" s="837">
        <v>0</v>
      </c>
      <c r="G185" s="836">
        <f t="shared" si="32"/>
        <v>0</v>
      </c>
      <c r="H185" s="795">
        <f t="shared" si="33"/>
        <v>132000</v>
      </c>
    </row>
    <row r="186" spans="1:8" ht="12.75">
      <c r="A186" s="946"/>
      <c r="B186" s="796">
        <v>53204020100000</v>
      </c>
      <c r="C186" s="790" t="s">
        <v>180</v>
      </c>
      <c r="D186" s="836">
        <f>+N111</f>
        <v>894858</v>
      </c>
      <c r="E186" s="836">
        <v>0</v>
      </c>
      <c r="F186" s="837">
        <v>0</v>
      </c>
      <c r="G186" s="836">
        <f t="shared" si="32"/>
        <v>0</v>
      </c>
      <c r="H186" s="795">
        <f t="shared" si="33"/>
        <v>894858</v>
      </c>
    </row>
    <row r="187" spans="1:8" ht="12.75">
      <c r="A187" s="946"/>
      <c r="B187" s="784"/>
      <c r="C187" s="785" t="s">
        <v>55</v>
      </c>
      <c r="D187" s="122">
        <f>SUM(D188:D195)</f>
        <v>1298214.4512</v>
      </c>
      <c r="E187" s="821"/>
      <c r="F187" s="821"/>
      <c r="G187" s="122">
        <f>SUM(G188:G195)</f>
        <v>317520</v>
      </c>
      <c r="H187" s="788">
        <f>SUM(H188:H195)</f>
        <v>1615734.4512</v>
      </c>
    </row>
    <row r="188" spans="1:8" ht="12.75">
      <c r="A188" s="946"/>
      <c r="B188" s="789">
        <v>53207010000000</v>
      </c>
      <c r="C188" s="790" t="s">
        <v>56</v>
      </c>
      <c r="D188" s="836">
        <f>+N113</f>
        <v>0</v>
      </c>
      <c r="E188" s="836">
        <v>0</v>
      </c>
      <c r="F188" s="837">
        <v>0</v>
      </c>
      <c r="G188" s="836">
        <f aca="true" t="shared" si="34" ref="G188:G195">E188*F188</f>
        <v>0</v>
      </c>
      <c r="H188" s="795">
        <f aca="true" t="shared" si="35" ref="H188:H195">D188+G188</f>
        <v>0</v>
      </c>
    </row>
    <row r="189" spans="1:8" ht="12.75">
      <c r="A189" s="946"/>
      <c r="B189" s="789">
        <v>53207020000000</v>
      </c>
      <c r="C189" s="790" t="s">
        <v>57</v>
      </c>
      <c r="D189" s="836">
        <f>+N114</f>
        <v>0</v>
      </c>
      <c r="E189" s="836">
        <v>0</v>
      </c>
      <c r="F189" s="837">
        <v>0</v>
      </c>
      <c r="G189" s="836">
        <f t="shared" si="34"/>
        <v>0</v>
      </c>
      <c r="H189" s="795">
        <f t="shared" si="35"/>
        <v>0</v>
      </c>
    </row>
    <row r="190" spans="1:8" ht="12.75">
      <c r="A190" s="946"/>
      <c r="B190" s="789">
        <v>53208020000000</v>
      </c>
      <c r="C190" s="790" t="s">
        <v>171</v>
      </c>
      <c r="D190" s="836">
        <f>+N115</f>
        <v>0</v>
      </c>
      <c r="E190" s="836">
        <v>0</v>
      </c>
      <c r="F190" s="837">
        <v>0</v>
      </c>
      <c r="G190" s="836">
        <f t="shared" si="34"/>
        <v>0</v>
      </c>
      <c r="H190" s="795">
        <f t="shared" si="35"/>
        <v>0</v>
      </c>
    </row>
    <row r="191" spans="1:8" ht="12.75">
      <c r="A191" s="946"/>
      <c r="B191" s="789">
        <v>53208990000000</v>
      </c>
      <c r="C191" s="790" t="s">
        <v>189</v>
      </c>
      <c r="D191" s="836">
        <f>+N116</f>
        <v>420000</v>
      </c>
      <c r="E191" s="836">
        <v>0</v>
      </c>
      <c r="F191" s="837">
        <v>0</v>
      </c>
      <c r="G191" s="836">
        <f t="shared" si="34"/>
        <v>0</v>
      </c>
      <c r="H191" s="795">
        <f t="shared" si="35"/>
        <v>420000</v>
      </c>
    </row>
    <row r="192" spans="1:8" ht="12.75">
      <c r="A192" s="946"/>
      <c r="B192" s="796">
        <v>53210020300000</v>
      </c>
      <c r="C192" s="790" t="s">
        <v>191</v>
      </c>
      <c r="D192" s="403">
        <v>0</v>
      </c>
      <c r="E192" s="403">
        <v>7560</v>
      </c>
      <c r="F192" s="404">
        <f>+'B) Reajuste Tarifas y Ocupación'!I36</f>
        <v>42</v>
      </c>
      <c r="G192" s="794">
        <f t="shared" si="34"/>
        <v>317520</v>
      </c>
      <c r="H192" s="795">
        <f>D192+G192</f>
        <v>317520</v>
      </c>
    </row>
    <row r="193" spans="1:8" ht="12.75">
      <c r="A193" s="946"/>
      <c r="B193" s="789">
        <v>53208990000000</v>
      </c>
      <c r="C193" s="790" t="s">
        <v>192</v>
      </c>
      <c r="D193" s="794">
        <f>+N117</f>
        <v>120000</v>
      </c>
      <c r="E193" s="794">
        <v>0</v>
      </c>
      <c r="F193" s="404">
        <v>0</v>
      </c>
      <c r="G193" s="794">
        <f t="shared" si="34"/>
        <v>0</v>
      </c>
      <c r="H193" s="795">
        <f>D193+G193</f>
        <v>120000</v>
      </c>
    </row>
    <row r="194" spans="1:8" ht="12.75">
      <c r="A194" s="946"/>
      <c r="B194" s="789">
        <v>53209990000000</v>
      </c>
      <c r="C194" s="790" t="s">
        <v>190</v>
      </c>
      <c r="D194" s="794">
        <f>+N118</f>
        <v>0</v>
      </c>
      <c r="E194" s="794">
        <v>0</v>
      </c>
      <c r="F194" s="404">
        <v>0</v>
      </c>
      <c r="G194" s="794">
        <f t="shared" si="34"/>
        <v>0</v>
      </c>
      <c r="H194" s="795">
        <f t="shared" si="35"/>
        <v>0</v>
      </c>
    </row>
    <row r="195" spans="1:8" ht="12.75">
      <c r="A195" s="946"/>
      <c r="B195" s="789">
        <v>53210020100000</v>
      </c>
      <c r="C195" s="790" t="s">
        <v>64</v>
      </c>
      <c r="D195" s="794">
        <f>+N119</f>
        <v>758214.4512</v>
      </c>
      <c r="E195" s="794">
        <v>0</v>
      </c>
      <c r="F195" s="404">
        <v>0</v>
      </c>
      <c r="G195" s="794">
        <f t="shared" si="34"/>
        <v>0</v>
      </c>
      <c r="H195" s="795">
        <f t="shared" si="35"/>
        <v>758214.4512</v>
      </c>
    </row>
    <row r="196" spans="1:8" ht="12.75">
      <c r="A196" s="946"/>
      <c r="B196" s="784"/>
      <c r="C196" s="785" t="s">
        <v>65</v>
      </c>
      <c r="D196" s="122">
        <f>SUM(D197:D203)</f>
        <v>1500000</v>
      </c>
      <c r="E196" s="821"/>
      <c r="F196" s="821"/>
      <c r="G196" s="122">
        <f>SUM(G197:G203)</f>
        <v>0</v>
      </c>
      <c r="H196" s="788">
        <f>SUM(H197:H203)</f>
        <v>1500000</v>
      </c>
    </row>
    <row r="197" spans="1:8" ht="12.75">
      <c r="A197" s="946"/>
      <c r="B197" s="789">
        <v>53206030000000</v>
      </c>
      <c r="C197" s="790" t="s">
        <v>99</v>
      </c>
      <c r="D197" s="836">
        <f aca="true" t="shared" si="36" ref="D197:D203">+N121</f>
        <v>0</v>
      </c>
      <c r="E197" s="836">
        <v>0</v>
      </c>
      <c r="F197" s="837">
        <v>0</v>
      </c>
      <c r="G197" s="794">
        <f aca="true" t="shared" si="37" ref="G197:G203">E197*F197</f>
        <v>0</v>
      </c>
      <c r="H197" s="795">
        <f aca="true" t="shared" si="38" ref="H197:H203">D197+G197</f>
        <v>0</v>
      </c>
    </row>
    <row r="198" spans="1:8" ht="12.75">
      <c r="A198" s="946"/>
      <c r="B198" s="789">
        <v>53206040000000</v>
      </c>
      <c r="C198" s="790" t="s">
        <v>100</v>
      </c>
      <c r="D198" s="836">
        <f t="shared" si="36"/>
        <v>0</v>
      </c>
      <c r="E198" s="836">
        <v>0</v>
      </c>
      <c r="F198" s="837">
        <v>0</v>
      </c>
      <c r="G198" s="794">
        <f t="shared" si="37"/>
        <v>0</v>
      </c>
      <c r="H198" s="795">
        <f t="shared" si="38"/>
        <v>0</v>
      </c>
    </row>
    <row r="199" spans="1:8" ht="12.75">
      <c r="A199" s="946"/>
      <c r="B199" s="789">
        <v>53206060000000</v>
      </c>
      <c r="C199" s="790" t="s">
        <v>193</v>
      </c>
      <c r="D199" s="836">
        <f t="shared" si="36"/>
        <v>0</v>
      </c>
      <c r="E199" s="836">
        <v>0</v>
      </c>
      <c r="F199" s="837">
        <v>0</v>
      </c>
      <c r="G199" s="794">
        <f t="shared" si="37"/>
        <v>0</v>
      </c>
      <c r="H199" s="795">
        <f t="shared" si="38"/>
        <v>0</v>
      </c>
    </row>
    <row r="200" spans="1:8" ht="12.75">
      <c r="A200" s="946"/>
      <c r="B200" s="789">
        <v>53206070000000</v>
      </c>
      <c r="C200" s="790" t="s">
        <v>102</v>
      </c>
      <c r="D200" s="836">
        <f t="shared" si="36"/>
        <v>0</v>
      </c>
      <c r="E200" s="836">
        <v>0</v>
      </c>
      <c r="F200" s="837">
        <v>0</v>
      </c>
      <c r="G200" s="794">
        <f t="shared" si="37"/>
        <v>0</v>
      </c>
      <c r="H200" s="795">
        <f t="shared" si="38"/>
        <v>0</v>
      </c>
    </row>
    <row r="201" spans="1:8" ht="12.75">
      <c r="A201" s="946"/>
      <c r="B201" s="789">
        <v>53206990000000</v>
      </c>
      <c r="C201" s="790" t="s">
        <v>194</v>
      </c>
      <c r="D201" s="836">
        <f t="shared" si="36"/>
        <v>0</v>
      </c>
      <c r="E201" s="836">
        <v>0</v>
      </c>
      <c r="F201" s="837">
        <v>0</v>
      </c>
      <c r="G201" s="794">
        <f t="shared" si="37"/>
        <v>0</v>
      </c>
      <c r="H201" s="795">
        <f t="shared" si="38"/>
        <v>0</v>
      </c>
    </row>
    <row r="202" spans="1:8" ht="12.75">
      <c r="A202" s="946"/>
      <c r="B202" s="789">
        <v>53208030000000</v>
      </c>
      <c r="C202" s="790" t="s">
        <v>104</v>
      </c>
      <c r="D202" s="836">
        <f t="shared" si="36"/>
        <v>0</v>
      </c>
      <c r="E202" s="836">
        <v>0</v>
      </c>
      <c r="F202" s="837">
        <v>0</v>
      </c>
      <c r="G202" s="794">
        <f t="shared" si="37"/>
        <v>0</v>
      </c>
      <c r="H202" s="795">
        <f t="shared" si="38"/>
        <v>0</v>
      </c>
    </row>
    <row r="203" spans="1:8" ht="12.75">
      <c r="A203" s="946"/>
      <c r="B203" s="789">
        <v>53206990000000</v>
      </c>
      <c r="C203" s="790" t="s">
        <v>224</v>
      </c>
      <c r="D203" s="836">
        <f t="shared" si="36"/>
        <v>1500000</v>
      </c>
      <c r="E203" s="836">
        <v>0</v>
      </c>
      <c r="F203" s="837">
        <v>0</v>
      </c>
      <c r="G203" s="794">
        <f t="shared" si="37"/>
        <v>0</v>
      </c>
      <c r="H203" s="795">
        <f t="shared" si="38"/>
        <v>1500000</v>
      </c>
    </row>
    <row r="204" spans="1:8" ht="12.75">
      <c r="A204" s="946"/>
      <c r="B204" s="784"/>
      <c r="C204" s="785" t="s">
        <v>66</v>
      </c>
      <c r="D204" s="122">
        <f>SUM(D205:D205)</f>
        <v>0</v>
      </c>
      <c r="E204" s="821"/>
      <c r="F204" s="821"/>
      <c r="G204" s="122">
        <f>SUM(G205:G205)</f>
        <v>630000</v>
      </c>
      <c r="H204" s="788">
        <f>SUM(H205:H205)</f>
        <v>630000</v>
      </c>
    </row>
    <row r="205" spans="1:11" ht="12.75">
      <c r="A205" s="946"/>
      <c r="B205" s="808"/>
      <c r="C205" s="809" t="s">
        <v>225</v>
      </c>
      <c r="D205" s="848">
        <v>0</v>
      </c>
      <c r="E205" s="848">
        <v>15000</v>
      </c>
      <c r="F205" s="769">
        <v>42</v>
      </c>
      <c r="G205" s="794">
        <f>E205*F205</f>
        <v>630000</v>
      </c>
      <c r="H205" s="810">
        <f>D205+G205</f>
        <v>630000</v>
      </c>
      <c r="I205" s="811" t="s">
        <v>228</v>
      </c>
      <c r="J205" s="812">
        <f>+H203+H202+H201+H200+H199+H198+H197+H195+H194+H193+H192+H191+H190+H189+H188+H186+H182+H181+H180+H179+H178+H176+H174+H173+H167+H166+H165+H163+H162+H161+H160+H159+H158+H157+H156+H155+H154+H153</f>
        <v>18447383.589275</v>
      </c>
      <c r="K205" s="733" t="s">
        <v>537</v>
      </c>
    </row>
    <row r="206" spans="1:10" ht="13.5" thickBot="1">
      <c r="A206" s="947"/>
      <c r="B206" s="844"/>
      <c r="C206" s="814" t="s">
        <v>105</v>
      </c>
      <c r="D206" s="815">
        <f>SUM(D142,D169)</f>
        <v>114736963.98927501</v>
      </c>
      <c r="E206" s="816"/>
      <c r="F206" s="816"/>
      <c r="G206" s="815">
        <f>SUM(G142,G169)</f>
        <v>9506463.436079051</v>
      </c>
      <c r="H206" s="817">
        <f>SUM(H142,H169)</f>
        <v>124243427.42535406</v>
      </c>
      <c r="I206" s="818" t="s">
        <v>229</v>
      </c>
      <c r="J206" s="819">
        <f>+H206-J205</f>
        <v>105796043.83607906</v>
      </c>
    </row>
    <row r="207" spans="1:8" ht="12.75">
      <c r="A207" s="959" t="s">
        <v>81</v>
      </c>
      <c r="B207" s="957" t="s">
        <v>75</v>
      </c>
      <c r="C207" s="948" t="s">
        <v>76</v>
      </c>
      <c r="D207" s="950" t="s">
        <v>77</v>
      </c>
      <c r="E207" s="952" t="s">
        <v>78</v>
      </c>
      <c r="F207" s="952"/>
      <c r="G207" s="952"/>
      <c r="H207" s="961" t="s">
        <v>237</v>
      </c>
    </row>
    <row r="208" spans="1:8" ht="26.25" thickBot="1">
      <c r="A208" s="960"/>
      <c r="B208" s="958"/>
      <c r="C208" s="949"/>
      <c r="D208" s="951"/>
      <c r="E208" s="281" t="s">
        <v>67</v>
      </c>
      <c r="F208" s="282" t="s">
        <v>68</v>
      </c>
      <c r="G208" s="283" t="s">
        <v>6</v>
      </c>
      <c r="H208" s="962"/>
    </row>
    <row r="209" spans="1:8" ht="12.75">
      <c r="A209" s="945" t="s">
        <v>215</v>
      </c>
      <c r="B209" s="778"/>
      <c r="C209" s="779" t="s">
        <v>11</v>
      </c>
      <c r="D209" s="780">
        <f>+D210+D215</f>
        <v>41878881.93669167</v>
      </c>
      <c r="E209" s="820"/>
      <c r="F209" s="820"/>
      <c r="G209" s="782">
        <f>SUM(G210,G215)</f>
        <v>1148857.0807330222</v>
      </c>
      <c r="H209" s="783">
        <f>SUM(H210,H215)</f>
        <v>43027739.01742469</v>
      </c>
    </row>
    <row r="210" spans="1:8" ht="12.75">
      <c r="A210" s="946"/>
      <c r="B210" s="784"/>
      <c r="C210" s="785" t="s">
        <v>12</v>
      </c>
      <c r="D210" s="122">
        <f>SUM(D211:D214)</f>
        <v>38041563.824</v>
      </c>
      <c r="E210" s="821"/>
      <c r="F210" s="821"/>
      <c r="G210" s="787">
        <f>SUM(G211:G214)</f>
        <v>120000</v>
      </c>
      <c r="H210" s="788">
        <f>SUM(H211:H214)</f>
        <v>38161563.824</v>
      </c>
    </row>
    <row r="211" spans="1:8" ht="12.75">
      <c r="A211" s="946"/>
      <c r="B211" s="789">
        <v>53103040100000</v>
      </c>
      <c r="C211" s="790" t="s">
        <v>95</v>
      </c>
      <c r="D211" s="791">
        <f>+'F) Remuneraciones'!L44</f>
        <v>37683421.824</v>
      </c>
      <c r="E211" s="794">
        <v>0</v>
      </c>
      <c r="F211" s="822">
        <v>0</v>
      </c>
      <c r="G211" s="794">
        <f>E211*F211</f>
        <v>0</v>
      </c>
      <c r="H211" s="795">
        <f>D211+G211</f>
        <v>37683421.824</v>
      </c>
    </row>
    <row r="212" spans="1:8" ht="12.75">
      <c r="A212" s="946"/>
      <c r="B212" s="789">
        <v>53103050000000</v>
      </c>
      <c r="C212" s="790" t="s">
        <v>172</v>
      </c>
      <c r="D212" s="848">
        <v>0</v>
      </c>
      <c r="E212" s="284">
        <v>30000</v>
      </c>
      <c r="F212" s="285">
        <v>4</v>
      </c>
      <c r="G212" s="794">
        <f>E212*F212</f>
        <v>120000</v>
      </c>
      <c r="H212" s="795">
        <f>D212+G212</f>
        <v>120000</v>
      </c>
    </row>
    <row r="213" spans="1:8" ht="12.75">
      <c r="A213" s="946"/>
      <c r="B213" s="796">
        <v>53103040400000</v>
      </c>
      <c r="C213" s="797" t="s">
        <v>173</v>
      </c>
      <c r="D213" s="848">
        <v>358142</v>
      </c>
      <c r="E213" s="284">
        <v>0</v>
      </c>
      <c r="F213" s="285">
        <v>0</v>
      </c>
      <c r="G213" s="794">
        <f>E213*F213</f>
        <v>0</v>
      </c>
      <c r="H213" s="795">
        <f>D213+G213</f>
        <v>358142</v>
      </c>
    </row>
    <row r="214" spans="1:8" ht="12.75">
      <c r="A214" s="946"/>
      <c r="B214" s="789">
        <v>53103080010000</v>
      </c>
      <c r="C214" s="790" t="s">
        <v>174</v>
      </c>
      <c r="D214" s="848">
        <v>0</v>
      </c>
      <c r="E214" s="284">
        <v>0</v>
      </c>
      <c r="F214" s="285">
        <v>0</v>
      </c>
      <c r="G214" s="794">
        <f>E214*F214</f>
        <v>0</v>
      </c>
      <c r="H214" s="795">
        <f>D214+G214</f>
        <v>0</v>
      </c>
    </row>
    <row r="215" spans="1:8" ht="12.75">
      <c r="A215" s="946"/>
      <c r="B215" s="784"/>
      <c r="C215" s="785" t="s">
        <v>16</v>
      </c>
      <c r="D215" s="122">
        <f>SUM(D216:D235)</f>
        <v>3837318.112691667</v>
      </c>
      <c r="E215" s="821"/>
      <c r="F215" s="821"/>
      <c r="G215" s="122">
        <f>SUM(G216:G235)</f>
        <v>1028857.0807330221</v>
      </c>
      <c r="H215" s="788">
        <f>SUM(H216:H235)</f>
        <v>4866175.193424689</v>
      </c>
    </row>
    <row r="216" spans="1:9" ht="12.75">
      <c r="A216" s="946"/>
      <c r="B216" s="789">
        <v>53201010100000</v>
      </c>
      <c r="C216" s="798" t="s">
        <v>175</v>
      </c>
      <c r="D216" s="848">
        <v>0</v>
      </c>
      <c r="E216" s="284">
        <f>+'H) Detalle Datos'!C13</f>
        <v>2000</v>
      </c>
      <c r="F216" s="285">
        <v>0</v>
      </c>
      <c r="G216" s="794">
        <f aca="true" t="shared" si="39" ref="G216:G235">E216*F216</f>
        <v>0</v>
      </c>
      <c r="H216" s="795">
        <f aca="true" t="shared" si="40" ref="H216:H221">D216+G216</f>
        <v>0</v>
      </c>
      <c r="I216" s="733" t="s">
        <v>536</v>
      </c>
    </row>
    <row r="217" spans="1:8" ht="12.75">
      <c r="A217" s="946"/>
      <c r="B217" s="789">
        <v>53201010100000</v>
      </c>
      <c r="C217" s="798" t="s">
        <v>176</v>
      </c>
      <c r="D217" s="848">
        <v>0</v>
      </c>
      <c r="E217" s="284">
        <f>+'H) Detalle Datos'!B32</f>
        <v>178.6210209605941</v>
      </c>
      <c r="F217" s="285">
        <f>+'H) Detalle Datos'!D30</f>
        <v>5760</v>
      </c>
      <c r="G217" s="794">
        <f t="shared" si="39"/>
        <v>1028857.0807330221</v>
      </c>
      <c r="H217" s="795">
        <f t="shared" si="40"/>
        <v>1028857.0807330221</v>
      </c>
    </row>
    <row r="218" spans="1:8" ht="12.75">
      <c r="A218" s="946"/>
      <c r="B218" s="789">
        <v>53201010100000</v>
      </c>
      <c r="C218" s="798" t="s">
        <v>177</v>
      </c>
      <c r="D218" s="848">
        <v>0</v>
      </c>
      <c r="E218" s="284">
        <v>0</v>
      </c>
      <c r="F218" s="285">
        <v>0</v>
      </c>
      <c r="G218" s="794">
        <f t="shared" si="39"/>
        <v>0</v>
      </c>
      <c r="H218" s="795">
        <f t="shared" si="40"/>
        <v>0</v>
      </c>
    </row>
    <row r="219" spans="1:8" ht="12.75">
      <c r="A219" s="946"/>
      <c r="B219" s="789">
        <v>53202010100000</v>
      </c>
      <c r="C219" s="790" t="s">
        <v>178</v>
      </c>
      <c r="D219" s="794">
        <f aca="true" t="shared" si="41" ref="D219:D235">+O80</f>
        <v>200000</v>
      </c>
      <c r="E219" s="794">
        <v>0</v>
      </c>
      <c r="F219" s="404">
        <v>0</v>
      </c>
      <c r="G219" s="794">
        <f t="shared" si="39"/>
        <v>0</v>
      </c>
      <c r="H219" s="795">
        <f t="shared" si="40"/>
        <v>200000</v>
      </c>
    </row>
    <row r="220" spans="1:8" ht="12.75">
      <c r="A220" s="946"/>
      <c r="B220" s="789">
        <v>53203010100000</v>
      </c>
      <c r="C220" s="790" t="s">
        <v>19</v>
      </c>
      <c r="D220" s="794">
        <f t="shared" si="41"/>
        <v>136701.8011916667</v>
      </c>
      <c r="E220" s="794">
        <v>0</v>
      </c>
      <c r="F220" s="404">
        <v>0</v>
      </c>
      <c r="G220" s="794">
        <f t="shared" si="39"/>
        <v>0</v>
      </c>
      <c r="H220" s="795">
        <f t="shared" si="40"/>
        <v>136701.8011916667</v>
      </c>
    </row>
    <row r="221" spans="1:8" ht="12.75">
      <c r="A221" s="946"/>
      <c r="B221" s="789">
        <v>53203030000000</v>
      </c>
      <c r="C221" s="790" t="s">
        <v>179</v>
      </c>
      <c r="D221" s="794">
        <f t="shared" si="41"/>
        <v>576000</v>
      </c>
      <c r="E221" s="794">
        <v>0</v>
      </c>
      <c r="F221" s="404">
        <v>0</v>
      </c>
      <c r="G221" s="794">
        <f t="shared" si="39"/>
        <v>0</v>
      </c>
      <c r="H221" s="795">
        <f t="shared" si="40"/>
        <v>576000</v>
      </c>
    </row>
    <row r="222" spans="1:8" ht="12.75">
      <c r="A222" s="946"/>
      <c r="B222" s="789">
        <v>53204030000000</v>
      </c>
      <c r="C222" s="790" t="s">
        <v>222</v>
      </c>
      <c r="D222" s="794">
        <f t="shared" si="41"/>
        <v>14744</v>
      </c>
      <c r="E222" s="794">
        <v>0</v>
      </c>
      <c r="F222" s="404">
        <v>0</v>
      </c>
      <c r="G222" s="794">
        <f t="shared" si="39"/>
        <v>0</v>
      </c>
      <c r="H222" s="795">
        <f>D222+G222</f>
        <v>14744</v>
      </c>
    </row>
    <row r="223" spans="1:8" ht="12.75">
      <c r="A223" s="946"/>
      <c r="B223" s="789">
        <v>53204100100001</v>
      </c>
      <c r="C223" s="790" t="s">
        <v>22</v>
      </c>
      <c r="D223" s="794">
        <f t="shared" si="41"/>
        <v>500000</v>
      </c>
      <c r="E223" s="794">
        <v>0</v>
      </c>
      <c r="F223" s="404">
        <v>0</v>
      </c>
      <c r="G223" s="794">
        <f t="shared" si="39"/>
        <v>0</v>
      </c>
      <c r="H223" s="795">
        <f aca="true" t="shared" si="42" ref="H223:H235">D223+G223</f>
        <v>500000</v>
      </c>
    </row>
    <row r="224" spans="1:8" ht="12.75">
      <c r="A224" s="946"/>
      <c r="B224" s="789">
        <v>53204130100000</v>
      </c>
      <c r="C224" s="790" t="s">
        <v>181</v>
      </c>
      <c r="D224" s="794">
        <f t="shared" si="41"/>
        <v>600000</v>
      </c>
      <c r="E224" s="794">
        <v>0</v>
      </c>
      <c r="F224" s="404">
        <v>0</v>
      </c>
      <c r="G224" s="794">
        <f t="shared" si="39"/>
        <v>0</v>
      </c>
      <c r="H224" s="795">
        <f t="shared" si="42"/>
        <v>600000</v>
      </c>
    </row>
    <row r="225" spans="1:8" ht="12.75">
      <c r="A225" s="946"/>
      <c r="B225" s="789">
        <v>53205010100000</v>
      </c>
      <c r="C225" s="790" t="s">
        <v>24</v>
      </c>
      <c r="D225" s="794">
        <f t="shared" si="41"/>
        <v>592290.3833333332</v>
      </c>
      <c r="E225" s="794">
        <v>0</v>
      </c>
      <c r="F225" s="404">
        <v>0</v>
      </c>
      <c r="G225" s="794">
        <f t="shared" si="39"/>
        <v>0</v>
      </c>
      <c r="H225" s="795">
        <f t="shared" si="42"/>
        <v>592290.3833333332</v>
      </c>
    </row>
    <row r="226" spans="1:8" ht="12.75">
      <c r="A226" s="946"/>
      <c r="B226" s="789">
        <v>53205020100000</v>
      </c>
      <c r="C226" s="790" t="s">
        <v>25</v>
      </c>
      <c r="D226" s="794">
        <f t="shared" si="41"/>
        <v>72354.53333333333</v>
      </c>
      <c r="E226" s="794">
        <v>0</v>
      </c>
      <c r="F226" s="404">
        <v>0</v>
      </c>
      <c r="G226" s="794">
        <f t="shared" si="39"/>
        <v>0</v>
      </c>
      <c r="H226" s="795">
        <f t="shared" si="42"/>
        <v>72354.53333333333</v>
      </c>
    </row>
    <row r="227" spans="1:8" ht="12.75">
      <c r="A227" s="946"/>
      <c r="B227" s="789">
        <v>53205030100000</v>
      </c>
      <c r="C227" s="790" t="s">
        <v>26</v>
      </c>
      <c r="D227" s="794">
        <f t="shared" si="41"/>
        <v>748717.7145000001</v>
      </c>
      <c r="E227" s="794">
        <v>0</v>
      </c>
      <c r="F227" s="404">
        <v>0</v>
      </c>
      <c r="G227" s="794">
        <f t="shared" si="39"/>
        <v>0</v>
      </c>
      <c r="H227" s="795">
        <f t="shared" si="42"/>
        <v>748717.7145000001</v>
      </c>
    </row>
    <row r="228" spans="1:8" ht="12.75">
      <c r="A228" s="946"/>
      <c r="B228" s="789">
        <v>53205050100000</v>
      </c>
      <c r="C228" s="790" t="s">
        <v>27</v>
      </c>
      <c r="D228" s="794">
        <f t="shared" si="41"/>
        <v>0</v>
      </c>
      <c r="E228" s="794">
        <v>0</v>
      </c>
      <c r="F228" s="404">
        <v>0</v>
      </c>
      <c r="G228" s="794">
        <f t="shared" si="39"/>
        <v>0</v>
      </c>
      <c r="H228" s="795">
        <f t="shared" si="42"/>
        <v>0</v>
      </c>
    </row>
    <row r="229" spans="1:8" ht="12.75">
      <c r="A229" s="946"/>
      <c r="B229" s="789">
        <v>53205070100000</v>
      </c>
      <c r="C229" s="790" t="s">
        <v>29</v>
      </c>
      <c r="D229" s="794">
        <f t="shared" si="41"/>
        <v>64000</v>
      </c>
      <c r="E229" s="794">
        <v>0</v>
      </c>
      <c r="F229" s="404">
        <v>0</v>
      </c>
      <c r="G229" s="794">
        <f t="shared" si="39"/>
        <v>0</v>
      </c>
      <c r="H229" s="795">
        <f t="shared" si="42"/>
        <v>64000</v>
      </c>
    </row>
    <row r="230" spans="1:8" ht="12.75">
      <c r="A230" s="946"/>
      <c r="B230" s="789">
        <v>53208010100000</v>
      </c>
      <c r="C230" s="790" t="s">
        <v>30</v>
      </c>
      <c r="D230" s="794">
        <f t="shared" si="41"/>
        <v>27695.12643333333</v>
      </c>
      <c r="E230" s="794">
        <v>0</v>
      </c>
      <c r="F230" s="404">
        <v>0</v>
      </c>
      <c r="G230" s="794">
        <f t="shared" si="39"/>
        <v>0</v>
      </c>
      <c r="H230" s="795">
        <f t="shared" si="42"/>
        <v>27695.12643333333</v>
      </c>
    </row>
    <row r="231" spans="1:8" ht="12.75">
      <c r="A231" s="946"/>
      <c r="B231" s="789">
        <v>53208070100001</v>
      </c>
      <c r="C231" s="790" t="s">
        <v>31</v>
      </c>
      <c r="D231" s="794">
        <f t="shared" si="41"/>
        <v>0</v>
      </c>
      <c r="E231" s="794">
        <v>0</v>
      </c>
      <c r="F231" s="404">
        <v>0</v>
      </c>
      <c r="G231" s="794">
        <f t="shared" si="39"/>
        <v>0</v>
      </c>
      <c r="H231" s="795">
        <f t="shared" si="42"/>
        <v>0</v>
      </c>
    </row>
    <row r="232" spans="1:8" ht="12.75">
      <c r="A232" s="946"/>
      <c r="B232" s="789">
        <v>53208100100001</v>
      </c>
      <c r="C232" s="790" t="s">
        <v>182</v>
      </c>
      <c r="D232" s="794">
        <f t="shared" si="41"/>
        <v>0</v>
      </c>
      <c r="E232" s="794">
        <v>0</v>
      </c>
      <c r="F232" s="404">
        <v>0</v>
      </c>
      <c r="G232" s="794">
        <f t="shared" si="39"/>
        <v>0</v>
      </c>
      <c r="H232" s="795">
        <f t="shared" si="42"/>
        <v>0</v>
      </c>
    </row>
    <row r="233" spans="1:8" ht="12.75">
      <c r="A233" s="946"/>
      <c r="B233" s="789">
        <v>53211030000000</v>
      </c>
      <c r="C233" s="790" t="s">
        <v>32</v>
      </c>
      <c r="D233" s="794">
        <f t="shared" si="41"/>
        <v>0</v>
      </c>
      <c r="E233" s="794">
        <v>0</v>
      </c>
      <c r="F233" s="404">
        <v>0</v>
      </c>
      <c r="G233" s="794">
        <f t="shared" si="39"/>
        <v>0</v>
      </c>
      <c r="H233" s="795">
        <f t="shared" si="42"/>
        <v>0</v>
      </c>
    </row>
    <row r="234" spans="1:8" ht="12.75">
      <c r="A234" s="946"/>
      <c r="B234" s="789">
        <v>53212020100000</v>
      </c>
      <c r="C234" s="790" t="s">
        <v>183</v>
      </c>
      <c r="D234" s="794">
        <f t="shared" si="41"/>
        <v>272814.5539</v>
      </c>
      <c r="E234" s="794">
        <v>0</v>
      </c>
      <c r="F234" s="404">
        <v>0</v>
      </c>
      <c r="G234" s="794">
        <f t="shared" si="39"/>
        <v>0</v>
      </c>
      <c r="H234" s="795">
        <f t="shared" si="42"/>
        <v>272814.5539</v>
      </c>
    </row>
    <row r="235" spans="1:8" ht="12.75">
      <c r="A235" s="946"/>
      <c r="B235" s="789">
        <v>53214020000000</v>
      </c>
      <c r="C235" s="790" t="s">
        <v>184</v>
      </c>
      <c r="D235" s="794">
        <f t="shared" si="41"/>
        <v>32000</v>
      </c>
      <c r="E235" s="794">
        <v>0</v>
      </c>
      <c r="F235" s="404">
        <v>0</v>
      </c>
      <c r="G235" s="794">
        <f t="shared" si="39"/>
        <v>0</v>
      </c>
      <c r="H235" s="795">
        <f t="shared" si="42"/>
        <v>32000</v>
      </c>
    </row>
    <row r="236" spans="1:8" ht="12.75">
      <c r="A236" s="946"/>
      <c r="B236" s="799"/>
      <c r="C236" s="800" t="s">
        <v>34</v>
      </c>
      <c r="D236" s="121">
        <f>SUM(D237,D242,D244,D253,D262,D270)</f>
        <v>2513969.7504000003</v>
      </c>
      <c r="E236" s="833"/>
      <c r="F236" s="833"/>
      <c r="G236" s="121">
        <f>SUM(G237,G242,G244,G253,G262,G270)</f>
        <v>200000</v>
      </c>
      <c r="H236" s="834">
        <f>SUM(H237,H242,H244,H253,H262,H270)</f>
        <v>2713969.7504000003</v>
      </c>
    </row>
    <row r="237" spans="1:8" ht="12.75">
      <c r="A237" s="946"/>
      <c r="B237" s="784"/>
      <c r="C237" s="785" t="s">
        <v>35</v>
      </c>
      <c r="D237" s="122">
        <f>SUM(D238:D241)</f>
        <v>0</v>
      </c>
      <c r="E237" s="821"/>
      <c r="F237" s="821"/>
      <c r="G237" s="122">
        <f>SUM(G238:G241)</f>
        <v>200000</v>
      </c>
      <c r="H237" s="835">
        <f>SUM(H238:H241)</f>
        <v>200000</v>
      </c>
    </row>
    <row r="238" spans="1:8" ht="12.75">
      <c r="A238" s="946"/>
      <c r="B238" s="789">
        <v>53202020100000</v>
      </c>
      <c r="C238" s="790" t="s">
        <v>185</v>
      </c>
      <c r="D238" s="848">
        <v>0</v>
      </c>
      <c r="E238" s="284">
        <v>40000</v>
      </c>
      <c r="F238" s="286">
        <v>5</v>
      </c>
      <c r="G238" s="794">
        <f>E238*F238</f>
        <v>200000</v>
      </c>
      <c r="H238" s="795">
        <f>D238+G238</f>
        <v>200000</v>
      </c>
    </row>
    <row r="239" spans="1:8" ht="12.75">
      <c r="A239" s="946"/>
      <c r="B239" s="789">
        <v>53202030000000</v>
      </c>
      <c r="C239" s="790" t="s">
        <v>186</v>
      </c>
      <c r="D239" s="848">
        <v>0</v>
      </c>
      <c r="E239" s="284">
        <v>20000</v>
      </c>
      <c r="F239" s="286">
        <v>0</v>
      </c>
      <c r="G239" s="794">
        <f>E239*F239</f>
        <v>0</v>
      </c>
      <c r="H239" s="795">
        <f>D239+G239</f>
        <v>0</v>
      </c>
    </row>
    <row r="240" spans="1:8" ht="12.75">
      <c r="A240" s="946"/>
      <c r="B240" s="789">
        <v>53211020000000</v>
      </c>
      <c r="C240" s="790" t="s">
        <v>41</v>
      </c>
      <c r="D240" s="836">
        <f>+O99</f>
        <v>0</v>
      </c>
      <c r="E240" s="836">
        <v>0</v>
      </c>
      <c r="F240" s="837">
        <v>0</v>
      </c>
      <c r="G240" s="794">
        <f>E240*F240</f>
        <v>0</v>
      </c>
      <c r="H240" s="795">
        <f>D240+G240</f>
        <v>0</v>
      </c>
    </row>
    <row r="241" spans="1:8" ht="12.75">
      <c r="A241" s="946"/>
      <c r="B241" s="789">
        <v>53101040600000</v>
      </c>
      <c r="C241" s="790" t="s">
        <v>187</v>
      </c>
      <c r="D241" s="836">
        <f>+O100</f>
        <v>0</v>
      </c>
      <c r="E241" s="836">
        <v>0</v>
      </c>
      <c r="F241" s="837">
        <v>0</v>
      </c>
      <c r="G241" s="794">
        <f>E241*F241</f>
        <v>0</v>
      </c>
      <c r="H241" s="795">
        <f>D241+G241</f>
        <v>0</v>
      </c>
    </row>
    <row r="242" spans="1:8" ht="12.75">
      <c r="A242" s="946"/>
      <c r="B242" s="784"/>
      <c r="C242" s="785" t="s">
        <v>42</v>
      </c>
      <c r="D242" s="122">
        <f>SUM(D243)</f>
        <v>0</v>
      </c>
      <c r="E242" s="821"/>
      <c r="F242" s="821"/>
      <c r="G242" s="804">
        <f>SUM(G243:G243)</f>
        <v>0</v>
      </c>
      <c r="H242" s="835">
        <f>SUM(H243:H243)</f>
        <v>0</v>
      </c>
    </row>
    <row r="243" spans="1:8" ht="12.75">
      <c r="A243" s="946"/>
      <c r="B243" s="807">
        <v>53205990000000</v>
      </c>
      <c r="C243" s="790" t="s">
        <v>44</v>
      </c>
      <c r="D243" s="836">
        <f>+O102</f>
        <v>0</v>
      </c>
      <c r="E243" s="836">
        <v>0</v>
      </c>
      <c r="F243" s="837">
        <v>0</v>
      </c>
      <c r="G243" s="794">
        <f>E243*F243</f>
        <v>0</v>
      </c>
      <c r="H243" s="795">
        <f>D243+G243</f>
        <v>0</v>
      </c>
    </row>
    <row r="244" spans="1:8" ht="12.75">
      <c r="A244" s="946"/>
      <c r="B244" s="784"/>
      <c r="C244" s="785" t="s">
        <v>45</v>
      </c>
      <c r="D244" s="122">
        <f>SUM(D245:D252)</f>
        <v>1581231.6</v>
      </c>
      <c r="E244" s="821"/>
      <c r="F244" s="821"/>
      <c r="G244" s="122">
        <f>SUM(G245:G252)</f>
        <v>0</v>
      </c>
      <c r="H244" s="835">
        <f>SUM(H245:H252)</f>
        <v>1581231.6</v>
      </c>
    </row>
    <row r="245" spans="1:8" ht="12.75">
      <c r="A245" s="946"/>
      <c r="B245" s="789">
        <v>53204010000000</v>
      </c>
      <c r="C245" s="790" t="s">
        <v>47</v>
      </c>
      <c r="D245" s="836">
        <f aca="true" t="shared" si="43" ref="D245:D252">+O104</f>
        <v>241402.2</v>
      </c>
      <c r="E245" s="836">
        <v>0</v>
      </c>
      <c r="F245" s="837">
        <v>0</v>
      </c>
      <c r="G245" s="836">
        <f aca="true" t="shared" si="44" ref="G245:G252">E245*F245</f>
        <v>0</v>
      </c>
      <c r="H245" s="795">
        <f aca="true" t="shared" si="45" ref="H245:H252">D245+G245</f>
        <v>241402.2</v>
      </c>
    </row>
    <row r="246" spans="1:8" ht="12.75">
      <c r="A246" s="946"/>
      <c r="B246" s="807">
        <v>53204040200000</v>
      </c>
      <c r="C246" s="790" t="s">
        <v>223</v>
      </c>
      <c r="D246" s="836">
        <f t="shared" si="43"/>
        <v>20000</v>
      </c>
      <c r="E246" s="836">
        <v>0</v>
      </c>
      <c r="F246" s="837">
        <v>0</v>
      </c>
      <c r="G246" s="836">
        <f t="shared" si="44"/>
        <v>0</v>
      </c>
      <c r="H246" s="795">
        <f t="shared" si="45"/>
        <v>20000</v>
      </c>
    </row>
    <row r="247" spans="1:8" ht="12.75">
      <c r="A247" s="946"/>
      <c r="B247" s="789">
        <v>53204060000000</v>
      </c>
      <c r="C247" s="790" t="s">
        <v>49</v>
      </c>
      <c r="D247" s="836">
        <f t="shared" si="43"/>
        <v>0</v>
      </c>
      <c r="E247" s="836">
        <v>0</v>
      </c>
      <c r="F247" s="837">
        <v>0</v>
      </c>
      <c r="G247" s="836">
        <f t="shared" si="44"/>
        <v>0</v>
      </c>
      <c r="H247" s="795">
        <f t="shared" si="45"/>
        <v>0</v>
      </c>
    </row>
    <row r="248" spans="1:8" ht="12.75">
      <c r="A248" s="946"/>
      <c r="B248" s="789">
        <v>53204070000000</v>
      </c>
      <c r="C248" s="790" t="s">
        <v>50</v>
      </c>
      <c r="D248" s="836">
        <f t="shared" si="43"/>
        <v>759947.4</v>
      </c>
      <c r="E248" s="836">
        <v>0</v>
      </c>
      <c r="F248" s="837">
        <v>0</v>
      </c>
      <c r="G248" s="836">
        <f t="shared" si="44"/>
        <v>0</v>
      </c>
      <c r="H248" s="795">
        <f t="shared" si="45"/>
        <v>759947.4</v>
      </c>
    </row>
    <row r="249" spans="1:8" ht="12.75">
      <c r="A249" s="946"/>
      <c r="B249" s="789">
        <v>53204080000000</v>
      </c>
      <c r="C249" s="790" t="s">
        <v>51</v>
      </c>
      <c r="D249" s="836">
        <f t="shared" si="43"/>
        <v>185596</v>
      </c>
      <c r="E249" s="836">
        <v>0</v>
      </c>
      <c r="F249" s="837">
        <v>0</v>
      </c>
      <c r="G249" s="836">
        <f t="shared" si="44"/>
        <v>0</v>
      </c>
      <c r="H249" s="795">
        <f t="shared" si="45"/>
        <v>185596</v>
      </c>
    </row>
    <row r="250" spans="1:8" ht="12.75">
      <c r="A250" s="946"/>
      <c r="B250" s="789">
        <v>53214010000000</v>
      </c>
      <c r="C250" s="790" t="s">
        <v>52</v>
      </c>
      <c r="D250" s="836">
        <f t="shared" si="43"/>
        <v>32000</v>
      </c>
      <c r="E250" s="841">
        <v>0</v>
      </c>
      <c r="F250" s="837">
        <v>0</v>
      </c>
      <c r="G250" s="836">
        <f t="shared" si="44"/>
        <v>0</v>
      </c>
      <c r="H250" s="795">
        <f t="shared" si="45"/>
        <v>32000</v>
      </c>
    </row>
    <row r="251" spans="1:8" ht="12.75">
      <c r="A251" s="946"/>
      <c r="B251" s="789">
        <v>53214040000000</v>
      </c>
      <c r="C251" s="790" t="s">
        <v>188</v>
      </c>
      <c r="D251" s="836">
        <f t="shared" si="43"/>
        <v>44000</v>
      </c>
      <c r="E251" s="841">
        <v>0</v>
      </c>
      <c r="F251" s="837">
        <v>0</v>
      </c>
      <c r="G251" s="836">
        <f t="shared" si="44"/>
        <v>0</v>
      </c>
      <c r="H251" s="795">
        <f t="shared" si="45"/>
        <v>44000</v>
      </c>
    </row>
    <row r="252" spans="1:8" ht="12.75">
      <c r="A252" s="946"/>
      <c r="B252" s="796">
        <v>53204020100000</v>
      </c>
      <c r="C252" s="790" t="s">
        <v>180</v>
      </c>
      <c r="D252" s="836">
        <f t="shared" si="43"/>
        <v>298286</v>
      </c>
      <c r="E252" s="836">
        <v>0</v>
      </c>
      <c r="F252" s="837">
        <v>0</v>
      </c>
      <c r="G252" s="836">
        <f t="shared" si="44"/>
        <v>0</v>
      </c>
      <c r="H252" s="795">
        <f t="shared" si="45"/>
        <v>298286</v>
      </c>
    </row>
    <row r="253" spans="1:8" ht="12.75">
      <c r="A253" s="946"/>
      <c r="B253" s="784"/>
      <c r="C253" s="785" t="s">
        <v>55</v>
      </c>
      <c r="D253" s="122">
        <f>SUM(D254:D261)</f>
        <v>432738.15040000004</v>
      </c>
      <c r="E253" s="821"/>
      <c r="F253" s="821"/>
      <c r="G253" s="122">
        <f>SUM(G254:G261)</f>
        <v>0</v>
      </c>
      <c r="H253" s="788">
        <f>SUM(H254:H261)</f>
        <v>432738.15040000004</v>
      </c>
    </row>
    <row r="254" spans="1:8" ht="12.75">
      <c r="A254" s="946"/>
      <c r="B254" s="789">
        <v>53207010000000</v>
      </c>
      <c r="C254" s="790" t="s">
        <v>56</v>
      </c>
      <c r="D254" s="836">
        <f>+O113</f>
        <v>0</v>
      </c>
      <c r="E254" s="836">
        <v>0</v>
      </c>
      <c r="F254" s="837">
        <v>0</v>
      </c>
      <c r="G254" s="836">
        <f aca="true" t="shared" si="46" ref="G254:G261">E254*F254</f>
        <v>0</v>
      </c>
      <c r="H254" s="795">
        <f aca="true" t="shared" si="47" ref="H254:H261">D254+G254</f>
        <v>0</v>
      </c>
    </row>
    <row r="255" spans="1:8" ht="12.75">
      <c r="A255" s="946"/>
      <c r="B255" s="789">
        <v>53207020000000</v>
      </c>
      <c r="C255" s="790" t="s">
        <v>57</v>
      </c>
      <c r="D255" s="836">
        <f>+O114</f>
        <v>0</v>
      </c>
      <c r="E255" s="836">
        <v>0</v>
      </c>
      <c r="F255" s="837">
        <v>0</v>
      </c>
      <c r="G255" s="836">
        <f t="shared" si="46"/>
        <v>0</v>
      </c>
      <c r="H255" s="795">
        <f t="shared" si="47"/>
        <v>0</v>
      </c>
    </row>
    <row r="256" spans="1:8" ht="12.75">
      <c r="A256" s="946"/>
      <c r="B256" s="789">
        <v>53208020000000</v>
      </c>
      <c r="C256" s="790" t="s">
        <v>171</v>
      </c>
      <c r="D256" s="836">
        <f>+O115</f>
        <v>0</v>
      </c>
      <c r="E256" s="836">
        <v>0</v>
      </c>
      <c r="F256" s="837">
        <v>0</v>
      </c>
      <c r="G256" s="836">
        <f t="shared" si="46"/>
        <v>0</v>
      </c>
      <c r="H256" s="795">
        <f t="shared" si="47"/>
        <v>0</v>
      </c>
    </row>
    <row r="257" spans="1:8" ht="12.75">
      <c r="A257" s="946"/>
      <c r="B257" s="789">
        <v>53208990000000</v>
      </c>
      <c r="C257" s="790" t="s">
        <v>189</v>
      </c>
      <c r="D257" s="836">
        <f>+O116</f>
        <v>140000</v>
      </c>
      <c r="E257" s="836">
        <v>0</v>
      </c>
      <c r="F257" s="837">
        <v>0</v>
      </c>
      <c r="G257" s="836">
        <f t="shared" si="46"/>
        <v>0</v>
      </c>
      <c r="H257" s="795">
        <f t="shared" si="47"/>
        <v>140000</v>
      </c>
    </row>
    <row r="258" spans="1:8" ht="12.75">
      <c r="A258" s="946"/>
      <c r="B258" s="796">
        <v>53210020300000</v>
      </c>
      <c r="C258" s="790" t="s">
        <v>191</v>
      </c>
      <c r="D258" s="403">
        <v>0</v>
      </c>
      <c r="E258" s="403">
        <v>0</v>
      </c>
      <c r="F258" s="404">
        <v>0</v>
      </c>
      <c r="G258" s="794">
        <f t="shared" si="46"/>
        <v>0</v>
      </c>
      <c r="H258" s="795">
        <f t="shared" si="47"/>
        <v>0</v>
      </c>
    </row>
    <row r="259" spans="1:8" ht="12.75">
      <c r="A259" s="946"/>
      <c r="B259" s="789">
        <v>53208990000000</v>
      </c>
      <c r="C259" s="790" t="s">
        <v>192</v>
      </c>
      <c r="D259" s="794">
        <f>+O117</f>
        <v>40000</v>
      </c>
      <c r="E259" s="794">
        <v>0</v>
      </c>
      <c r="F259" s="404">
        <v>0</v>
      </c>
      <c r="G259" s="794">
        <f t="shared" si="46"/>
        <v>0</v>
      </c>
      <c r="H259" s="795">
        <f t="shared" si="47"/>
        <v>40000</v>
      </c>
    </row>
    <row r="260" spans="1:8" ht="12.75">
      <c r="A260" s="946"/>
      <c r="B260" s="789">
        <v>53209990000000</v>
      </c>
      <c r="C260" s="790" t="s">
        <v>190</v>
      </c>
      <c r="D260" s="794">
        <f>+O118</f>
        <v>0</v>
      </c>
      <c r="E260" s="794">
        <v>0</v>
      </c>
      <c r="F260" s="404">
        <v>0</v>
      </c>
      <c r="G260" s="794">
        <f t="shared" si="46"/>
        <v>0</v>
      </c>
      <c r="H260" s="795">
        <f t="shared" si="47"/>
        <v>0</v>
      </c>
    </row>
    <row r="261" spans="1:8" ht="12.75">
      <c r="A261" s="946"/>
      <c r="B261" s="789">
        <v>53210020100000</v>
      </c>
      <c r="C261" s="790" t="s">
        <v>64</v>
      </c>
      <c r="D261" s="794">
        <f>+O119</f>
        <v>252738.15040000004</v>
      </c>
      <c r="E261" s="794">
        <v>0</v>
      </c>
      <c r="F261" s="404">
        <v>0</v>
      </c>
      <c r="G261" s="794">
        <f t="shared" si="46"/>
        <v>0</v>
      </c>
      <c r="H261" s="795">
        <f t="shared" si="47"/>
        <v>252738.15040000004</v>
      </c>
    </row>
    <row r="262" spans="1:8" ht="12.75">
      <c r="A262" s="946"/>
      <c r="B262" s="784"/>
      <c r="C262" s="785" t="s">
        <v>65</v>
      </c>
      <c r="D262" s="122">
        <f>SUM(D263:D269)</f>
        <v>500000</v>
      </c>
      <c r="E262" s="821"/>
      <c r="F262" s="821"/>
      <c r="G262" s="122">
        <f>SUM(G263:G269)</f>
        <v>0</v>
      </c>
      <c r="H262" s="788">
        <f>SUM(H263:H269)</f>
        <v>500000</v>
      </c>
    </row>
    <row r="263" spans="1:8" ht="12.75">
      <c r="A263" s="946"/>
      <c r="B263" s="789">
        <v>53206030000000</v>
      </c>
      <c r="C263" s="790" t="s">
        <v>99</v>
      </c>
      <c r="D263" s="836">
        <f>+O121</f>
        <v>0</v>
      </c>
      <c r="E263" s="836">
        <v>0</v>
      </c>
      <c r="F263" s="837">
        <v>0</v>
      </c>
      <c r="G263" s="794">
        <f aca="true" t="shared" si="48" ref="G263:G269">E263*F263</f>
        <v>0</v>
      </c>
      <c r="H263" s="795">
        <f aca="true" t="shared" si="49" ref="H263:H269">D263+G263</f>
        <v>0</v>
      </c>
    </row>
    <row r="264" spans="1:8" ht="12.75">
      <c r="A264" s="946"/>
      <c r="B264" s="789">
        <v>53206040000000</v>
      </c>
      <c r="C264" s="790" t="s">
        <v>100</v>
      </c>
      <c r="D264" s="836">
        <f aca="true" t="shared" si="50" ref="D264:D269">+O122</f>
        <v>0</v>
      </c>
      <c r="E264" s="836">
        <v>0</v>
      </c>
      <c r="F264" s="837">
        <v>0</v>
      </c>
      <c r="G264" s="794">
        <f t="shared" si="48"/>
        <v>0</v>
      </c>
      <c r="H264" s="795">
        <f t="shared" si="49"/>
        <v>0</v>
      </c>
    </row>
    <row r="265" spans="1:8" ht="12.75">
      <c r="A265" s="946"/>
      <c r="B265" s="789">
        <v>53206060000000</v>
      </c>
      <c r="C265" s="790" t="s">
        <v>193</v>
      </c>
      <c r="D265" s="836">
        <f t="shared" si="50"/>
        <v>0</v>
      </c>
      <c r="E265" s="836">
        <v>0</v>
      </c>
      <c r="F265" s="837">
        <v>0</v>
      </c>
      <c r="G265" s="794">
        <f t="shared" si="48"/>
        <v>0</v>
      </c>
      <c r="H265" s="795">
        <f t="shared" si="49"/>
        <v>0</v>
      </c>
    </row>
    <row r="266" spans="1:8" ht="12.75">
      <c r="A266" s="946"/>
      <c r="B266" s="789">
        <v>53206070000000</v>
      </c>
      <c r="C266" s="790" t="s">
        <v>102</v>
      </c>
      <c r="D266" s="836">
        <f t="shared" si="50"/>
        <v>0</v>
      </c>
      <c r="E266" s="836">
        <v>0</v>
      </c>
      <c r="F266" s="837">
        <v>0</v>
      </c>
      <c r="G266" s="794">
        <f t="shared" si="48"/>
        <v>0</v>
      </c>
      <c r="H266" s="795">
        <f t="shared" si="49"/>
        <v>0</v>
      </c>
    </row>
    <row r="267" spans="1:8" ht="12.75">
      <c r="A267" s="946"/>
      <c r="B267" s="789">
        <v>53206990000000</v>
      </c>
      <c r="C267" s="790" t="s">
        <v>194</v>
      </c>
      <c r="D267" s="836">
        <f t="shared" si="50"/>
        <v>0</v>
      </c>
      <c r="E267" s="836">
        <v>0</v>
      </c>
      <c r="F267" s="837">
        <v>0</v>
      </c>
      <c r="G267" s="794">
        <f t="shared" si="48"/>
        <v>0</v>
      </c>
      <c r="H267" s="795">
        <f t="shared" si="49"/>
        <v>0</v>
      </c>
    </row>
    <row r="268" spans="1:8" ht="12.75">
      <c r="A268" s="946"/>
      <c r="B268" s="789">
        <v>53208030000000</v>
      </c>
      <c r="C268" s="790" t="s">
        <v>104</v>
      </c>
      <c r="D268" s="836">
        <f t="shared" si="50"/>
        <v>0</v>
      </c>
      <c r="E268" s="836">
        <v>0</v>
      </c>
      <c r="F268" s="837">
        <v>0</v>
      </c>
      <c r="G268" s="794">
        <f t="shared" si="48"/>
        <v>0</v>
      </c>
      <c r="H268" s="795">
        <f t="shared" si="49"/>
        <v>0</v>
      </c>
    </row>
    <row r="269" spans="1:8" ht="12.75">
      <c r="A269" s="946"/>
      <c r="B269" s="789">
        <v>53206990000000</v>
      </c>
      <c r="C269" s="790" t="s">
        <v>224</v>
      </c>
      <c r="D269" s="836">
        <f t="shared" si="50"/>
        <v>500000</v>
      </c>
      <c r="E269" s="836">
        <v>0</v>
      </c>
      <c r="F269" s="837">
        <v>0</v>
      </c>
      <c r="G269" s="794">
        <f t="shared" si="48"/>
        <v>0</v>
      </c>
      <c r="H269" s="795">
        <f t="shared" si="49"/>
        <v>500000</v>
      </c>
    </row>
    <row r="270" spans="1:8" ht="12.75">
      <c r="A270" s="946"/>
      <c r="B270" s="784"/>
      <c r="C270" s="785" t="s">
        <v>66</v>
      </c>
      <c r="D270" s="122">
        <f>SUM(D271:D271)</f>
        <v>0</v>
      </c>
      <c r="E270" s="821"/>
      <c r="F270" s="821"/>
      <c r="G270" s="122">
        <f>SUM(G271:G271)</f>
        <v>0</v>
      </c>
      <c r="H270" s="788">
        <f>SUM(H271:H271)</f>
        <v>0</v>
      </c>
    </row>
    <row r="271" spans="1:10" ht="12.75">
      <c r="A271" s="946"/>
      <c r="B271" s="808"/>
      <c r="C271" s="809" t="s">
        <v>225</v>
      </c>
      <c r="D271" s="848">
        <v>0</v>
      </c>
      <c r="E271" s="848">
        <v>0</v>
      </c>
      <c r="F271" s="286">
        <v>0</v>
      </c>
      <c r="G271" s="794">
        <f>E271*F271</f>
        <v>0</v>
      </c>
      <c r="H271" s="810">
        <f>D271+G271</f>
        <v>0</v>
      </c>
      <c r="I271" s="811" t="s">
        <v>228</v>
      </c>
      <c r="J271" s="812">
        <f>+H269+H268+H267+H266+H265+H264+H263+H261+H260+H259+H258+H257+H256+H255+H254+H252+H249+H248+H247+H246+H245+H243+H241+H240+H234+H233+H232+H230+H229+H228+H227+H226+H225+H224+H223+H222+H221+H220</f>
        <v>6043287.863091667</v>
      </c>
    </row>
    <row r="272" spans="1:10" ht="13.5" thickBot="1">
      <c r="A272" s="947"/>
      <c r="B272" s="844"/>
      <c r="C272" s="814" t="s">
        <v>105</v>
      </c>
      <c r="D272" s="815">
        <f>SUM(D209,D236)</f>
        <v>44392851.68709167</v>
      </c>
      <c r="E272" s="816"/>
      <c r="F272" s="816"/>
      <c r="G272" s="815">
        <f>SUM(G209,G236)</f>
        <v>1348857.0807330222</v>
      </c>
      <c r="H272" s="817">
        <f>SUM(H209,H236)</f>
        <v>45741708.76782469</v>
      </c>
      <c r="I272" s="818" t="s">
        <v>229</v>
      </c>
      <c r="J272" s="819">
        <f>+H272-J271</f>
        <v>39698420.90473302</v>
      </c>
    </row>
    <row r="273" spans="1:8" ht="15.75">
      <c r="A273" s="955" t="s">
        <v>109</v>
      </c>
      <c r="B273" s="955"/>
      <c r="C273" s="955"/>
      <c r="D273" s="955"/>
      <c r="E273" s="955"/>
      <c r="F273" s="955"/>
      <c r="G273" s="956"/>
      <c r="H273" s="847">
        <f>SUM(H272+H139+H75+H206)</f>
        <v>243961923.77562022</v>
      </c>
    </row>
  </sheetData>
  <sheetProtection password="8D26" sheet="1"/>
  <mergeCells count="37">
    <mergeCell ref="N76:N77"/>
    <mergeCell ref="O76:O77"/>
    <mergeCell ref="P76:P77"/>
    <mergeCell ref="L76:L77"/>
    <mergeCell ref="H10:H11"/>
    <mergeCell ref="D10:D11"/>
    <mergeCell ref="I10:J11"/>
    <mergeCell ref="H207:H208"/>
    <mergeCell ref="A209:A272"/>
    <mergeCell ref="A76:A139"/>
    <mergeCell ref="A140:A141"/>
    <mergeCell ref="B140:B141"/>
    <mergeCell ref="C10:C11"/>
    <mergeCell ref="B207:B208"/>
    <mergeCell ref="C207:C208"/>
    <mergeCell ref="D207:D208"/>
    <mergeCell ref="E207:G207"/>
    <mergeCell ref="D4:E4"/>
    <mergeCell ref="M76:M77"/>
    <mergeCell ref="A273:G273"/>
    <mergeCell ref="A8:C8"/>
    <mergeCell ref="A12:A75"/>
    <mergeCell ref="B10:B11"/>
    <mergeCell ref="A10:A11"/>
    <mergeCell ref="E10:G10"/>
    <mergeCell ref="H140:H141"/>
    <mergeCell ref="A207:A208"/>
    <mergeCell ref="M97:P97"/>
    <mergeCell ref="M98:P98"/>
    <mergeCell ref="M101:P101"/>
    <mergeCell ref="M103:P103"/>
    <mergeCell ref="A142:A206"/>
    <mergeCell ref="M112:P112"/>
    <mergeCell ref="M120:P120"/>
    <mergeCell ref="C140:C141"/>
    <mergeCell ref="D140:D141"/>
    <mergeCell ref="E140:G140"/>
  </mergeCells>
  <printOptions/>
  <pageMargins left="0.85" right="0.75" top="0.5701388888888889" bottom="0.9097222222222222" header="0" footer="0.5118055555555555"/>
  <pageSetup fitToHeight="12" fitToWidth="1" horizontalDpi="300" verticalDpi="300" orientation="landscape" r:id="rId1"/>
  <headerFooter alignWithMargins="0">
    <oddHeader>&amp;LSEPT - 2004&amp;CDIRECTIVA D.B.S.A.ORDINARIO&amp;R02-BS/0307/02pag &amp;P de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IH98"/>
  <sheetViews>
    <sheetView showGridLines="0" zoomScale="69" zoomScaleNormal="69" zoomScalePageLayoutView="0" workbookViewId="0" topLeftCell="H4">
      <selection activeCell="P48" sqref="P48"/>
    </sheetView>
  </sheetViews>
  <sheetFormatPr defaultColWidth="11.421875" defaultRowHeight="12.75"/>
  <cols>
    <col min="1" max="1" width="7.140625" style="31" customWidth="1"/>
    <col min="2" max="2" width="28.00390625" style="31" customWidth="1"/>
    <col min="3" max="3" width="28.7109375" style="31" customWidth="1"/>
    <col min="4" max="4" width="24.140625" style="31" customWidth="1"/>
    <col min="5" max="5" width="25.140625" style="31" customWidth="1"/>
    <col min="6" max="6" width="22.140625" style="31" customWidth="1"/>
    <col min="7" max="7" width="14.8515625" style="31" customWidth="1"/>
    <col min="8" max="8" width="15.00390625" style="31" customWidth="1"/>
    <col min="9" max="9" width="15.140625" style="31" customWidth="1"/>
    <col min="10" max="10" width="17.421875" style="31" customWidth="1"/>
    <col min="11" max="11" width="19.140625" style="31" customWidth="1"/>
    <col min="12" max="12" width="4.8515625" style="31" customWidth="1"/>
    <col min="13" max="13" width="19.140625" style="31" customWidth="1"/>
    <col min="14" max="14" width="16.140625" style="31" customWidth="1"/>
    <col min="15" max="15" width="17.140625" style="31" customWidth="1"/>
    <col min="16" max="16" width="14.8515625" style="31" customWidth="1"/>
    <col min="17" max="17" width="17.7109375" style="31" customWidth="1"/>
    <col min="18" max="18" width="17.140625" style="31" customWidth="1"/>
    <col min="19" max="19" width="17.421875" style="31" customWidth="1"/>
    <col min="20" max="20" width="5.00390625" style="31" customWidth="1"/>
    <col min="21" max="21" width="19.8515625" style="31" bestFit="1" customWidth="1"/>
    <col min="22" max="22" width="52.140625" style="31" bestFit="1" customWidth="1"/>
    <col min="23" max="23" width="19.7109375" style="31" customWidth="1"/>
    <col min="24" max="24" width="5.7109375" style="31" customWidth="1"/>
    <col min="25" max="25" width="11.421875" style="31" customWidth="1"/>
    <col min="26" max="31" width="14.28125" style="31" customWidth="1"/>
    <col min="32" max="32" width="11.28125" style="31" customWidth="1"/>
    <col min="33" max="38" width="14.28125" style="31" customWidth="1"/>
    <col min="39" max="39" width="11.421875" style="31" customWidth="1"/>
    <col min="40" max="40" width="14.28125" style="31" customWidth="1"/>
    <col min="41" max="41" width="16.57421875" style="31" customWidth="1"/>
    <col min="42" max="45" width="14.28125" style="31" customWidth="1"/>
    <col min="46" max="16384" width="11.421875" style="31" customWidth="1"/>
  </cols>
  <sheetData>
    <row r="1" spans="3:242" s="6" customFormat="1" ht="12.75">
      <c r="C1" s="7"/>
      <c r="D1" s="7"/>
      <c r="E1" s="44" t="s">
        <v>206</v>
      </c>
      <c r="F1" s="44"/>
      <c r="G1" s="44"/>
      <c r="H1" s="44"/>
      <c r="I1" s="44"/>
      <c r="J1" s="7"/>
      <c r="K1" s="7"/>
      <c r="L1" s="7"/>
      <c r="IG1" s="4"/>
      <c r="IH1" s="4"/>
    </row>
    <row r="2" spans="5:242" s="6" customFormat="1" ht="12.75">
      <c r="E2" s="44" t="s">
        <v>198</v>
      </c>
      <c r="F2" s="44"/>
      <c r="G2" s="44"/>
      <c r="H2" s="44"/>
      <c r="I2" s="44"/>
      <c r="IG2" s="4"/>
      <c r="IH2" s="4"/>
    </row>
    <row r="3" spans="2:237" s="6" customFormat="1" ht="12.75">
      <c r="B3" s="2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HX3" s="4"/>
      <c r="HY3" s="4"/>
      <c r="HZ3" s="4"/>
      <c r="IA3" s="4"/>
      <c r="IB3" s="4"/>
      <c r="IC3" s="4"/>
    </row>
    <row r="4" spans="2:237" s="6" customFormat="1" ht="18.75" customHeight="1">
      <c r="B4" s="26"/>
      <c r="D4" s="97" t="s">
        <v>0</v>
      </c>
      <c r="E4" s="849" t="str">
        <f>+'B) Reajuste Tarifas y Ocupación'!F5</f>
        <v>(DEPTO./DELEG.)</v>
      </c>
      <c r="F4" s="69"/>
      <c r="G4" s="70"/>
      <c r="H4" s="70"/>
      <c r="I4" s="70"/>
      <c r="J4" s="70"/>
      <c r="O4" s="3"/>
      <c r="HX4" s="4"/>
      <c r="HY4" s="4"/>
      <c r="HZ4" s="4"/>
      <c r="IA4" s="4"/>
      <c r="IB4" s="4"/>
      <c r="IC4" s="4"/>
    </row>
    <row r="5" spans="2:237" s="6" customFormat="1" ht="12.75">
      <c r="B5" s="26"/>
      <c r="D5" s="98"/>
      <c r="E5" s="100"/>
      <c r="F5" s="100"/>
      <c r="G5" s="100"/>
      <c r="H5" s="100"/>
      <c r="I5" s="100"/>
      <c r="J5" s="100"/>
      <c r="O5" s="3"/>
      <c r="HX5" s="4"/>
      <c r="HY5" s="4"/>
      <c r="HZ5" s="4"/>
      <c r="IA5" s="4"/>
      <c r="IB5" s="4"/>
      <c r="IC5" s="4"/>
    </row>
    <row r="6" spans="2:237" s="6" customFormat="1" ht="13.5" thickBot="1">
      <c r="B6" s="26"/>
      <c r="D6" s="98"/>
      <c r="E6" s="100"/>
      <c r="F6" s="100"/>
      <c r="G6" s="100"/>
      <c r="H6" s="100"/>
      <c r="I6" s="100"/>
      <c r="J6" s="100"/>
      <c r="O6" s="3"/>
      <c r="HX6" s="4"/>
      <c r="HY6" s="4"/>
      <c r="HZ6" s="4"/>
      <c r="IA6" s="4"/>
      <c r="IB6" s="4"/>
      <c r="IC6" s="4"/>
    </row>
    <row r="7" spans="2:46" ht="12.75">
      <c r="B7" s="29"/>
      <c r="C7" s="29"/>
      <c r="D7" s="29"/>
      <c r="E7" s="29"/>
      <c r="F7" s="29"/>
      <c r="G7" s="29"/>
      <c r="H7" s="29"/>
      <c r="I7" s="29"/>
      <c r="J7" s="37"/>
      <c r="K7" s="37"/>
      <c r="L7" s="37"/>
      <c r="M7" s="37"/>
      <c r="N7" s="37"/>
      <c r="O7" s="37"/>
      <c r="P7" s="37"/>
      <c r="Q7" s="37"/>
      <c r="R7" s="37"/>
      <c r="Y7" s="161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3"/>
    </row>
    <row r="8" spans="2:46" ht="12.75">
      <c r="B8" s="29"/>
      <c r="C8" s="29"/>
      <c r="D8" s="29"/>
      <c r="E8" s="29"/>
      <c r="F8" s="29"/>
      <c r="G8" s="29"/>
      <c r="H8" s="29"/>
      <c r="I8" s="29"/>
      <c r="J8" s="37"/>
      <c r="K8" s="37"/>
      <c r="L8" s="37"/>
      <c r="M8" s="37"/>
      <c r="N8" s="37"/>
      <c r="O8" s="37"/>
      <c r="P8" s="37"/>
      <c r="Q8" s="37"/>
      <c r="R8" s="37"/>
      <c r="Y8" s="164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165"/>
    </row>
    <row r="9" spans="1:46" ht="15.75" customHeight="1">
      <c r="A9" s="1018" t="s">
        <v>154</v>
      </c>
      <c r="B9" s="1018"/>
      <c r="C9" s="1018"/>
      <c r="D9" s="1018"/>
      <c r="E9" s="1018"/>
      <c r="F9" s="1018"/>
      <c r="G9" s="1018"/>
      <c r="H9" s="1018"/>
      <c r="I9" s="853"/>
      <c r="J9" s="853"/>
      <c r="K9" s="853"/>
      <c r="L9" s="853"/>
      <c r="M9" s="1010" t="s">
        <v>155</v>
      </c>
      <c r="N9" s="1010"/>
      <c r="O9" s="1010"/>
      <c r="P9" s="1010"/>
      <c r="Q9" s="1010"/>
      <c r="R9" s="1010"/>
      <c r="S9" s="1010"/>
      <c r="U9" s="1010" t="s">
        <v>156</v>
      </c>
      <c r="V9" s="1010"/>
      <c r="W9" s="1010"/>
      <c r="X9" s="114"/>
      <c r="Y9" s="166"/>
      <c r="Z9" s="1010" t="s">
        <v>157</v>
      </c>
      <c r="AA9" s="1010"/>
      <c r="AB9" s="1010"/>
      <c r="AC9" s="1010"/>
      <c r="AD9" s="1010"/>
      <c r="AE9" s="1010"/>
      <c r="AF9" s="114"/>
      <c r="AG9" s="1010" t="s">
        <v>158</v>
      </c>
      <c r="AH9" s="1010"/>
      <c r="AI9" s="1010"/>
      <c r="AJ9" s="1010"/>
      <c r="AK9" s="1010"/>
      <c r="AL9" s="1010"/>
      <c r="AM9" s="39"/>
      <c r="AN9" s="1010" t="s">
        <v>159</v>
      </c>
      <c r="AO9" s="1010"/>
      <c r="AP9" s="1010"/>
      <c r="AQ9" s="1010"/>
      <c r="AR9" s="1010"/>
      <c r="AS9" s="1010"/>
      <c r="AT9" s="165"/>
    </row>
    <row r="10" spans="2:46" ht="13.5" customHeight="1">
      <c r="B10" s="26"/>
      <c r="C10" s="98"/>
      <c r="D10" s="98"/>
      <c r="E10" s="100"/>
      <c r="F10" s="100"/>
      <c r="G10" s="100"/>
      <c r="H10" s="100"/>
      <c r="I10" s="100"/>
      <c r="J10" s="100"/>
      <c r="M10" s="1010"/>
      <c r="N10" s="1010"/>
      <c r="O10" s="1010"/>
      <c r="P10" s="1010"/>
      <c r="Q10" s="1010"/>
      <c r="R10" s="1010"/>
      <c r="S10" s="1010"/>
      <c r="U10" s="1010"/>
      <c r="V10" s="1010"/>
      <c r="W10" s="1010"/>
      <c r="Y10" s="164"/>
      <c r="Z10" s="1010"/>
      <c r="AA10" s="1010"/>
      <c r="AB10" s="1010"/>
      <c r="AC10" s="1010"/>
      <c r="AD10" s="1010"/>
      <c r="AE10" s="1010"/>
      <c r="AF10" s="39"/>
      <c r="AG10" s="1010"/>
      <c r="AH10" s="1010"/>
      <c r="AI10" s="1010"/>
      <c r="AJ10" s="1010"/>
      <c r="AK10" s="1010"/>
      <c r="AL10" s="1010"/>
      <c r="AM10" s="39"/>
      <c r="AN10" s="1010"/>
      <c r="AO10" s="1010"/>
      <c r="AP10" s="1010"/>
      <c r="AQ10" s="1010"/>
      <c r="AR10" s="1010"/>
      <c r="AS10" s="1010"/>
      <c r="AT10" s="165"/>
    </row>
    <row r="11" spans="10:46" ht="12.75">
      <c r="J11" s="73" t="s">
        <v>4</v>
      </c>
      <c r="K11" s="72">
        <v>0.072</v>
      </c>
      <c r="Y11" s="164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165"/>
    </row>
    <row r="12" spans="11:46" ht="12.75" customHeight="1" thickBot="1">
      <c r="K12" s="39"/>
      <c r="L12" s="39"/>
      <c r="M12" s="1009"/>
      <c r="N12" s="1009"/>
      <c r="O12" s="1009"/>
      <c r="P12" s="1009"/>
      <c r="Q12" s="1009"/>
      <c r="R12" s="1009"/>
      <c r="Y12" s="164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165"/>
    </row>
    <row r="13" spans="1:46" ht="21.75" customHeight="1">
      <c r="A13" s="991" t="s">
        <v>118</v>
      </c>
      <c r="B13" s="992"/>
      <c r="C13" s="995" t="s">
        <v>73</v>
      </c>
      <c r="D13" s="995" t="s">
        <v>74</v>
      </c>
      <c r="E13" s="997" t="s">
        <v>3</v>
      </c>
      <c r="F13" s="997" t="s">
        <v>81</v>
      </c>
      <c r="G13" s="999" t="s">
        <v>240</v>
      </c>
      <c r="H13" s="1000"/>
      <c r="I13" s="1000"/>
      <c r="J13" s="1000"/>
      <c r="K13" s="1023" t="s">
        <v>238</v>
      </c>
      <c r="L13" s="37"/>
      <c r="M13" s="982" t="s">
        <v>69</v>
      </c>
      <c r="N13" s="1025"/>
      <c r="O13" s="980" t="s">
        <v>70</v>
      </c>
      <c r="P13" s="981"/>
      <c r="Q13" s="990" t="s">
        <v>71</v>
      </c>
      <c r="R13" s="990"/>
      <c r="S13" s="974" t="s">
        <v>145</v>
      </c>
      <c r="U13" s="1019" t="s">
        <v>75</v>
      </c>
      <c r="V13" s="1021" t="s">
        <v>76</v>
      </c>
      <c r="W13" s="1011" t="s">
        <v>241</v>
      </c>
      <c r="Y13" s="164"/>
      <c r="Z13" s="986" t="s">
        <v>69</v>
      </c>
      <c r="AA13" s="987"/>
      <c r="AB13" s="988" t="s">
        <v>70</v>
      </c>
      <c r="AC13" s="989"/>
      <c r="AD13" s="976" t="s">
        <v>71</v>
      </c>
      <c r="AE13" s="977"/>
      <c r="AF13" s="39"/>
      <c r="AG13" s="982" t="s">
        <v>69</v>
      </c>
      <c r="AH13" s="983"/>
      <c r="AI13" s="980" t="s">
        <v>70</v>
      </c>
      <c r="AJ13" s="981"/>
      <c r="AK13" s="978" t="s">
        <v>71</v>
      </c>
      <c r="AL13" s="979"/>
      <c r="AM13" s="39"/>
      <c r="AN13" s="982" t="s">
        <v>69</v>
      </c>
      <c r="AO13" s="983"/>
      <c r="AP13" s="980" t="s">
        <v>70</v>
      </c>
      <c r="AQ13" s="981"/>
      <c r="AR13" s="978" t="s">
        <v>71</v>
      </c>
      <c r="AS13" s="979"/>
      <c r="AT13" s="165"/>
    </row>
    <row r="14" spans="1:46" s="39" customFormat="1" ht="49.5" customHeight="1" thickBot="1">
      <c r="A14" s="993"/>
      <c r="B14" s="994"/>
      <c r="C14" s="996"/>
      <c r="D14" s="996"/>
      <c r="E14" s="998"/>
      <c r="F14" s="998"/>
      <c r="G14" s="851" t="s">
        <v>220</v>
      </c>
      <c r="H14" s="855" t="s">
        <v>116</v>
      </c>
      <c r="I14" s="855" t="s">
        <v>117</v>
      </c>
      <c r="J14" s="856" t="s">
        <v>239</v>
      </c>
      <c r="K14" s="1024"/>
      <c r="L14" s="37"/>
      <c r="M14" s="145" t="s">
        <v>36</v>
      </c>
      <c r="N14" s="147" t="s">
        <v>37</v>
      </c>
      <c r="O14" s="155" t="s">
        <v>36</v>
      </c>
      <c r="P14" s="156" t="s">
        <v>37</v>
      </c>
      <c r="Q14" s="148" t="s">
        <v>36</v>
      </c>
      <c r="R14" s="405" t="s">
        <v>37</v>
      </c>
      <c r="S14" s="975"/>
      <c r="U14" s="1020"/>
      <c r="V14" s="1022"/>
      <c r="W14" s="1011"/>
      <c r="Y14" s="164"/>
      <c r="Z14" s="145" t="s">
        <v>36</v>
      </c>
      <c r="AA14" s="147" t="s">
        <v>37</v>
      </c>
      <c r="AB14" s="155" t="s">
        <v>36</v>
      </c>
      <c r="AC14" s="156" t="s">
        <v>37</v>
      </c>
      <c r="AD14" s="148" t="s">
        <v>36</v>
      </c>
      <c r="AE14" s="146" t="s">
        <v>37</v>
      </c>
      <c r="AG14" s="167" t="s">
        <v>36</v>
      </c>
      <c r="AH14" s="168" t="s">
        <v>37</v>
      </c>
      <c r="AI14" s="169" t="s">
        <v>36</v>
      </c>
      <c r="AJ14" s="170" t="s">
        <v>37</v>
      </c>
      <c r="AK14" s="171" t="s">
        <v>36</v>
      </c>
      <c r="AL14" s="172" t="s">
        <v>37</v>
      </c>
      <c r="AN14" s="984" t="s">
        <v>146</v>
      </c>
      <c r="AO14" s="985"/>
      <c r="AP14" s="1001" t="s">
        <v>146</v>
      </c>
      <c r="AQ14" s="1002"/>
      <c r="AR14" s="970" t="s">
        <v>147</v>
      </c>
      <c r="AS14" s="971"/>
      <c r="AT14" s="165"/>
    </row>
    <row r="15" spans="1:46" s="39" customFormat="1" ht="12.75" customHeight="1" thickBot="1">
      <c r="A15" s="1026" t="s">
        <v>141</v>
      </c>
      <c r="B15" s="1003" t="s">
        <v>93</v>
      </c>
      <c r="C15" s="632" t="s">
        <v>304</v>
      </c>
      <c r="D15" s="457" t="s">
        <v>305</v>
      </c>
      <c r="E15" s="213" t="s">
        <v>306</v>
      </c>
      <c r="F15" s="104" t="s">
        <v>119</v>
      </c>
      <c r="G15" s="458">
        <f>1110953*12</f>
        <v>13331436</v>
      </c>
      <c r="H15" s="216">
        <v>145000</v>
      </c>
      <c r="I15" s="108">
        <f>65138*2</f>
        <v>130276</v>
      </c>
      <c r="J15" s="466">
        <f>SUM(G15:I15)</f>
        <v>13606712</v>
      </c>
      <c r="K15" s="106">
        <f aca="true" t="shared" si="0" ref="K15:K61">+J15*(1+$K$11)</f>
        <v>14586395.264</v>
      </c>
      <c r="L15" s="37"/>
      <c r="M15" s="126">
        <v>0.13</v>
      </c>
      <c r="N15" s="141">
        <f aca="true" t="shared" si="1" ref="N15:N61">+$K15*M15</f>
        <v>1896231.3843200002</v>
      </c>
      <c r="O15" s="126">
        <v>0.03</v>
      </c>
      <c r="P15" s="152">
        <f aca="true" t="shared" si="2" ref="P15:P61">+$K15*O15</f>
        <v>437591.85792</v>
      </c>
      <c r="Q15" s="149">
        <f>8.9%+75.1%</f>
        <v>0.8399999999999999</v>
      </c>
      <c r="R15" s="141">
        <f aca="true" t="shared" si="3" ref="R15:R61">+$K15*Q15</f>
        <v>12252572.021759998</v>
      </c>
      <c r="S15" s="406">
        <f>+M15+O15+Q15</f>
        <v>0.9999999999999999</v>
      </c>
      <c r="U15" s="118"/>
      <c r="V15" s="115" t="s">
        <v>11</v>
      </c>
      <c r="W15" s="121">
        <f>SUM(W16,W20)</f>
        <v>53495992.97566666</v>
      </c>
      <c r="Y15" s="164"/>
      <c r="Z15" s="157">
        <f aca="true" t="shared" si="4" ref="Z15:AE15">+M62</f>
        <v>0.3172926030721224</v>
      </c>
      <c r="AA15" s="159">
        <f t="shared" si="4"/>
        <v>76270663.73984002</v>
      </c>
      <c r="AB15" s="157">
        <f t="shared" si="4"/>
        <v>0.08806360622548823</v>
      </c>
      <c r="AC15" s="160">
        <f t="shared" si="4"/>
        <v>21168692.97648</v>
      </c>
      <c r="AD15" s="158">
        <f t="shared" si="4"/>
        <v>0.5946437907023893</v>
      </c>
      <c r="AE15" s="160">
        <f t="shared" si="4"/>
        <v>142940226.67567998</v>
      </c>
      <c r="AG15" s="224">
        <f>+Z15</f>
        <v>0.3172926030721224</v>
      </c>
      <c r="AH15" s="225">
        <f>+AG15*W80</f>
        <v>27410738.83113701</v>
      </c>
      <c r="AI15" s="226">
        <f>+AB15</f>
        <v>0.08806360622548823</v>
      </c>
      <c r="AJ15" s="225">
        <f>+AI15*W80</f>
        <v>7607767.995228866</v>
      </c>
      <c r="AK15" s="227">
        <f>+AD15</f>
        <v>0.5946437907023893</v>
      </c>
      <c r="AL15" s="228">
        <f>+AK15*W80</f>
        <v>51370960.07496744</v>
      </c>
      <c r="AN15" s="972">
        <f>+AH15+AA15</f>
        <v>103681402.57097703</v>
      </c>
      <c r="AO15" s="973"/>
      <c r="AP15" s="972">
        <f>+AJ15+AC15+K70</f>
        <v>28776460.971708864</v>
      </c>
      <c r="AQ15" s="973"/>
      <c r="AR15" s="972">
        <f>+AL15+AE15</f>
        <v>194311186.75064743</v>
      </c>
      <c r="AS15" s="973"/>
      <c r="AT15" s="165"/>
    </row>
    <row r="16" spans="1:46" s="39" customFormat="1" ht="12.75">
      <c r="A16" s="1027"/>
      <c r="B16" s="1004"/>
      <c r="C16" s="463" t="s">
        <v>307</v>
      </c>
      <c r="D16" s="459" t="s">
        <v>308</v>
      </c>
      <c r="E16" s="218" t="s">
        <v>309</v>
      </c>
      <c r="F16" s="219" t="s">
        <v>119</v>
      </c>
      <c r="G16" s="754">
        <f>748792*12</f>
        <v>8985504</v>
      </c>
      <c r="H16" s="754">
        <v>270522</v>
      </c>
      <c r="I16" s="216">
        <f>66655*2</f>
        <v>133310</v>
      </c>
      <c r="J16" s="217">
        <f>SUM(G16:I16)</f>
        <v>9389336</v>
      </c>
      <c r="K16" s="107">
        <f t="shared" si="0"/>
        <v>10065368.192</v>
      </c>
      <c r="L16" s="37"/>
      <c r="M16" s="139">
        <v>0.52</v>
      </c>
      <c r="N16" s="142">
        <f t="shared" si="1"/>
        <v>5233991.45984</v>
      </c>
      <c r="O16" s="139">
        <v>0.09</v>
      </c>
      <c r="P16" s="140">
        <f t="shared" si="2"/>
        <v>905883.1372799999</v>
      </c>
      <c r="Q16" s="150">
        <f>22%+17%</f>
        <v>0.39</v>
      </c>
      <c r="R16" s="142">
        <f t="shared" si="3"/>
        <v>3925493.59488</v>
      </c>
      <c r="S16" s="407">
        <f aca="true" t="shared" si="5" ref="S16:S61">+M16+O16+Q16</f>
        <v>1</v>
      </c>
      <c r="U16" s="119"/>
      <c r="V16" s="116" t="s">
        <v>12</v>
      </c>
      <c r="W16" s="122">
        <f>SUM(W17:W19)</f>
        <v>0</v>
      </c>
      <c r="Y16" s="164"/>
      <c r="AL16" s="41"/>
      <c r="AT16" s="165"/>
    </row>
    <row r="17" spans="1:46" s="39" customFormat="1" ht="12.75" customHeight="1">
      <c r="A17" s="1027"/>
      <c r="B17" s="1004"/>
      <c r="C17" s="463" t="s">
        <v>310</v>
      </c>
      <c r="D17" s="459" t="s">
        <v>311</v>
      </c>
      <c r="E17" s="218" t="s">
        <v>312</v>
      </c>
      <c r="F17" s="219" t="s">
        <v>119</v>
      </c>
      <c r="G17" s="754">
        <f>800121*12</f>
        <v>9601452</v>
      </c>
      <c r="H17" s="754">
        <v>270522</v>
      </c>
      <c r="I17" s="216">
        <f>66655*2</f>
        <v>133310</v>
      </c>
      <c r="J17" s="217">
        <f>SUM(G17:I17)</f>
        <v>10005284</v>
      </c>
      <c r="K17" s="107">
        <f t="shared" si="0"/>
        <v>10725664.448</v>
      </c>
      <c r="L17" s="37"/>
      <c r="M17" s="139">
        <v>0.422</v>
      </c>
      <c r="N17" s="142">
        <f t="shared" si="1"/>
        <v>4526230.397056</v>
      </c>
      <c r="O17" s="139">
        <v>0.086</v>
      </c>
      <c r="P17" s="140">
        <f t="shared" si="2"/>
        <v>922407.1425279999</v>
      </c>
      <c r="Q17" s="150">
        <f>18.4%+30.8%</f>
        <v>0.492</v>
      </c>
      <c r="R17" s="142">
        <f t="shared" si="3"/>
        <v>5277026.908416</v>
      </c>
      <c r="S17" s="407">
        <f t="shared" si="5"/>
        <v>1</v>
      </c>
      <c r="U17" s="120">
        <v>53103050000000</v>
      </c>
      <c r="V17" s="117" t="s">
        <v>13</v>
      </c>
      <c r="W17" s="848">
        <v>0</v>
      </c>
      <c r="Y17" s="164"/>
      <c r="AT17" s="165"/>
    </row>
    <row r="18" spans="1:46" s="39" customFormat="1" ht="13.5" customHeight="1" thickBot="1">
      <c r="A18" s="1027"/>
      <c r="B18" s="1004"/>
      <c r="C18" s="463" t="s">
        <v>313</v>
      </c>
      <c r="D18" s="459" t="s">
        <v>314</v>
      </c>
      <c r="E18" s="218" t="s">
        <v>315</v>
      </c>
      <c r="F18" s="219" t="s">
        <v>119</v>
      </c>
      <c r="G18" s="754">
        <f>870934*12</f>
        <v>10451208</v>
      </c>
      <c r="H18" s="754">
        <v>270522</v>
      </c>
      <c r="I18" s="216">
        <f>66655*2</f>
        <v>133310</v>
      </c>
      <c r="J18" s="217">
        <f aca="true" t="shared" si="6" ref="J18:J39">SUM(G18:I18)</f>
        <v>10855040</v>
      </c>
      <c r="K18" s="107">
        <f t="shared" si="0"/>
        <v>11636602.88</v>
      </c>
      <c r="L18" s="37"/>
      <c r="M18" s="139">
        <v>0.13</v>
      </c>
      <c r="N18" s="142">
        <f t="shared" si="1"/>
        <v>1512758.3744</v>
      </c>
      <c r="O18" s="139">
        <v>0.03</v>
      </c>
      <c r="P18" s="140">
        <f t="shared" si="2"/>
        <v>349098.08640000003</v>
      </c>
      <c r="Q18" s="150">
        <f>64%+20%</f>
        <v>0.8400000000000001</v>
      </c>
      <c r="R18" s="142">
        <f t="shared" si="3"/>
        <v>9774746.419200001</v>
      </c>
      <c r="S18" s="407">
        <f t="shared" si="5"/>
        <v>1</v>
      </c>
      <c r="U18" s="120">
        <v>53103060000000</v>
      </c>
      <c r="V18" s="117" t="s">
        <v>14</v>
      </c>
      <c r="W18" s="848">
        <v>0</v>
      </c>
      <c r="Y18" s="173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5"/>
    </row>
    <row r="19" spans="1:23" s="39" customFormat="1" ht="12.75">
      <c r="A19" s="1027"/>
      <c r="B19" s="1004"/>
      <c r="C19" s="463" t="s">
        <v>316</v>
      </c>
      <c r="D19" s="459" t="s">
        <v>317</v>
      </c>
      <c r="E19" s="218" t="s">
        <v>318</v>
      </c>
      <c r="F19" s="219" t="s">
        <v>119</v>
      </c>
      <c r="G19" s="754">
        <f>858291*12</f>
        <v>10299492</v>
      </c>
      <c r="H19" s="754">
        <v>270522</v>
      </c>
      <c r="I19" s="216">
        <f>66380*2</f>
        <v>132760</v>
      </c>
      <c r="J19" s="217">
        <f t="shared" si="6"/>
        <v>10702774</v>
      </c>
      <c r="K19" s="107">
        <f t="shared" si="0"/>
        <v>11473373.728</v>
      </c>
      <c r="L19" s="37"/>
      <c r="M19" s="139">
        <v>0.938</v>
      </c>
      <c r="N19" s="142">
        <f t="shared" si="1"/>
        <v>10762024.556863999</v>
      </c>
      <c r="O19" s="139">
        <v>0.012</v>
      </c>
      <c r="P19" s="140">
        <f t="shared" si="2"/>
        <v>137680.484736</v>
      </c>
      <c r="Q19" s="150">
        <f>1.6%+3.4%</f>
        <v>0.05</v>
      </c>
      <c r="R19" s="142">
        <f t="shared" si="3"/>
        <v>573668.6864</v>
      </c>
      <c r="S19" s="407">
        <f t="shared" si="5"/>
        <v>1</v>
      </c>
      <c r="U19" s="120">
        <v>53103080010000</v>
      </c>
      <c r="V19" s="117" t="s">
        <v>15</v>
      </c>
      <c r="W19" s="848">
        <v>0</v>
      </c>
    </row>
    <row r="20" spans="1:23" s="39" customFormat="1" ht="12.75">
      <c r="A20" s="1027"/>
      <c r="B20" s="1004"/>
      <c r="C20" s="463" t="s">
        <v>319</v>
      </c>
      <c r="D20" s="459" t="s">
        <v>320</v>
      </c>
      <c r="E20" s="218" t="s">
        <v>321</v>
      </c>
      <c r="F20" s="219" t="s">
        <v>119</v>
      </c>
      <c r="G20" s="754">
        <f>646094*12</f>
        <v>7753128</v>
      </c>
      <c r="H20" s="754">
        <v>270522</v>
      </c>
      <c r="I20" s="216">
        <f>66380*2</f>
        <v>132760</v>
      </c>
      <c r="J20" s="217">
        <f t="shared" si="6"/>
        <v>8156410</v>
      </c>
      <c r="K20" s="107">
        <f t="shared" si="0"/>
        <v>8743671.520000001</v>
      </c>
      <c r="L20" s="37"/>
      <c r="M20" s="139">
        <v>0.24</v>
      </c>
      <c r="N20" s="142">
        <f t="shared" si="1"/>
        <v>2098481.1648000004</v>
      </c>
      <c r="O20" s="139">
        <v>0.309</v>
      </c>
      <c r="P20" s="140">
        <f t="shared" si="2"/>
        <v>2701794.4996800004</v>
      </c>
      <c r="Q20" s="150">
        <f>18.4%+26.7%</f>
        <v>0.451</v>
      </c>
      <c r="R20" s="142">
        <f t="shared" si="3"/>
        <v>3943395.8555200007</v>
      </c>
      <c r="S20" s="407">
        <f t="shared" si="5"/>
        <v>1</v>
      </c>
      <c r="U20" s="119"/>
      <c r="V20" s="116" t="s">
        <v>16</v>
      </c>
      <c r="W20" s="122">
        <f>SUM(W21:W39)</f>
        <v>53495992.97566666</v>
      </c>
    </row>
    <row r="21" spans="1:23" s="39" customFormat="1" ht="12.75">
      <c r="A21" s="1027"/>
      <c r="B21" s="1004"/>
      <c r="C21" s="463" t="s">
        <v>322</v>
      </c>
      <c r="D21" s="459" t="s">
        <v>323</v>
      </c>
      <c r="E21" s="218" t="s">
        <v>318</v>
      </c>
      <c r="F21" s="219" t="s">
        <v>119</v>
      </c>
      <c r="G21" s="754">
        <f>710950*12</f>
        <v>8531400</v>
      </c>
      <c r="H21" s="754">
        <v>270522</v>
      </c>
      <c r="I21" s="216">
        <f>66380*2</f>
        <v>132760</v>
      </c>
      <c r="J21" s="217">
        <f t="shared" si="6"/>
        <v>8934682</v>
      </c>
      <c r="K21" s="107">
        <f t="shared" si="0"/>
        <v>9577979.104</v>
      </c>
      <c r="L21" s="37"/>
      <c r="M21" s="139">
        <v>0.33</v>
      </c>
      <c r="N21" s="142">
        <f t="shared" si="1"/>
        <v>3160733.1043200004</v>
      </c>
      <c r="O21" s="139">
        <v>0.12</v>
      </c>
      <c r="P21" s="140">
        <f t="shared" si="2"/>
        <v>1149357.49248</v>
      </c>
      <c r="Q21" s="150">
        <f>16%+39%</f>
        <v>0.55</v>
      </c>
      <c r="R21" s="142">
        <f t="shared" si="3"/>
        <v>5267888.507200001</v>
      </c>
      <c r="S21" s="407">
        <f t="shared" si="5"/>
        <v>1</v>
      </c>
      <c r="U21" s="120">
        <v>53201010100000</v>
      </c>
      <c r="V21" s="117" t="s">
        <v>17</v>
      </c>
      <c r="W21" s="848">
        <v>12798001</v>
      </c>
    </row>
    <row r="22" spans="1:23" s="39" customFormat="1" ht="12.75">
      <c r="A22" s="1027"/>
      <c r="B22" s="1004"/>
      <c r="C22" s="463" t="s">
        <v>324</v>
      </c>
      <c r="D22" s="459" t="s">
        <v>325</v>
      </c>
      <c r="E22" s="218" t="s">
        <v>318</v>
      </c>
      <c r="F22" s="219" t="s">
        <v>119</v>
      </c>
      <c r="G22" s="754">
        <f>925243*12</f>
        <v>11102916</v>
      </c>
      <c r="H22" s="754">
        <v>270522</v>
      </c>
      <c r="I22" s="216">
        <f>66655*2</f>
        <v>133310</v>
      </c>
      <c r="J22" s="217">
        <f t="shared" si="6"/>
        <v>11506748</v>
      </c>
      <c r="K22" s="107">
        <f t="shared" si="0"/>
        <v>12335233.856</v>
      </c>
      <c r="L22" s="37"/>
      <c r="M22" s="139">
        <v>0.56</v>
      </c>
      <c r="N22" s="142">
        <f t="shared" si="1"/>
        <v>6907730.959360001</v>
      </c>
      <c r="O22" s="139">
        <v>0.27</v>
      </c>
      <c r="P22" s="140">
        <f t="shared" si="2"/>
        <v>3330513.1411200003</v>
      </c>
      <c r="Q22" s="150">
        <f>9%+8%</f>
        <v>0.16999999999999998</v>
      </c>
      <c r="R22" s="142">
        <f t="shared" si="3"/>
        <v>2096989.75552</v>
      </c>
      <c r="S22" s="407">
        <f t="shared" si="5"/>
        <v>1</v>
      </c>
      <c r="U22" s="120">
        <v>53202010100000</v>
      </c>
      <c r="V22" s="117" t="s">
        <v>18</v>
      </c>
      <c r="W22" s="848">
        <v>592118.716</v>
      </c>
    </row>
    <row r="23" spans="1:23" s="39" customFormat="1" ht="12.75">
      <c r="A23" s="1027"/>
      <c r="B23" s="1004"/>
      <c r="C23" s="463"/>
      <c r="D23" s="459"/>
      <c r="E23" s="218"/>
      <c r="F23" s="219"/>
      <c r="G23" s="754">
        <v>0</v>
      </c>
      <c r="H23" s="754">
        <v>0</v>
      </c>
      <c r="I23" s="216">
        <v>0</v>
      </c>
      <c r="J23" s="217">
        <f t="shared" si="6"/>
        <v>0</v>
      </c>
      <c r="K23" s="107">
        <f t="shared" si="0"/>
        <v>0</v>
      </c>
      <c r="L23" s="37"/>
      <c r="M23" s="139">
        <v>0</v>
      </c>
      <c r="N23" s="142">
        <f t="shared" si="1"/>
        <v>0</v>
      </c>
      <c r="O23" s="139">
        <v>0</v>
      </c>
      <c r="P23" s="140">
        <f t="shared" si="2"/>
        <v>0</v>
      </c>
      <c r="Q23" s="150">
        <v>0</v>
      </c>
      <c r="R23" s="142">
        <f t="shared" si="3"/>
        <v>0</v>
      </c>
      <c r="S23" s="407">
        <f t="shared" si="5"/>
        <v>0</v>
      </c>
      <c r="U23" s="120">
        <v>53203010100000</v>
      </c>
      <c r="V23" s="117" t="s">
        <v>19</v>
      </c>
      <c r="W23" s="848">
        <v>3930737.0713333334</v>
      </c>
    </row>
    <row r="24" spans="1:23" s="39" customFormat="1" ht="13.5" thickBot="1">
      <c r="A24" s="1027"/>
      <c r="B24" s="1005"/>
      <c r="C24" s="184"/>
      <c r="D24" s="262"/>
      <c r="E24" s="220"/>
      <c r="F24" s="221"/>
      <c r="G24" s="264">
        <v>0</v>
      </c>
      <c r="H24" s="756">
        <v>0</v>
      </c>
      <c r="I24" s="216">
        <v>0</v>
      </c>
      <c r="J24" s="223">
        <f t="shared" si="6"/>
        <v>0</v>
      </c>
      <c r="K24" s="105">
        <f t="shared" si="0"/>
        <v>0</v>
      </c>
      <c r="L24" s="37"/>
      <c r="M24" s="144">
        <v>0</v>
      </c>
      <c r="N24" s="143">
        <f t="shared" si="1"/>
        <v>0</v>
      </c>
      <c r="O24" s="144">
        <v>0</v>
      </c>
      <c r="P24" s="153">
        <f t="shared" si="2"/>
        <v>0</v>
      </c>
      <c r="Q24" s="151">
        <v>0</v>
      </c>
      <c r="R24" s="143">
        <f t="shared" si="3"/>
        <v>0</v>
      </c>
      <c r="S24" s="408">
        <f t="shared" si="5"/>
        <v>0</v>
      </c>
      <c r="U24" s="120">
        <v>53203030000000</v>
      </c>
      <c r="V24" s="117" t="s">
        <v>20</v>
      </c>
      <c r="W24" s="848">
        <v>0</v>
      </c>
    </row>
    <row r="25" spans="1:33" s="39" customFormat="1" ht="12.75" customHeight="1">
      <c r="A25" s="1027"/>
      <c r="B25" s="1003" t="s">
        <v>92</v>
      </c>
      <c r="C25" s="632" t="s">
        <v>326</v>
      </c>
      <c r="D25" s="457" t="s">
        <v>327</v>
      </c>
      <c r="E25" s="213" t="s">
        <v>328</v>
      </c>
      <c r="F25" s="104" t="s">
        <v>119</v>
      </c>
      <c r="G25" s="458">
        <f>1783283*12</f>
        <v>21399396</v>
      </c>
      <c r="H25" s="458">
        <v>145000</v>
      </c>
      <c r="I25" s="108">
        <f>65138*2</f>
        <v>130276</v>
      </c>
      <c r="J25" s="466">
        <f>SUM(G25:I25)</f>
        <v>21674672</v>
      </c>
      <c r="K25" s="106">
        <f t="shared" si="0"/>
        <v>23235248.384</v>
      </c>
      <c r="L25" s="37"/>
      <c r="M25" s="126">
        <v>0.308</v>
      </c>
      <c r="N25" s="141">
        <f t="shared" si="1"/>
        <v>7156456.502272</v>
      </c>
      <c r="O25" s="126">
        <v>0.109</v>
      </c>
      <c r="P25" s="152">
        <f t="shared" si="2"/>
        <v>2532642.073856</v>
      </c>
      <c r="Q25" s="149">
        <f>6.2%+52.1%</f>
        <v>0.583</v>
      </c>
      <c r="R25" s="141">
        <f t="shared" si="3"/>
        <v>13546149.807872</v>
      </c>
      <c r="S25" s="406">
        <f t="shared" si="5"/>
        <v>1</v>
      </c>
      <c r="U25" s="120">
        <v>53204030000000</v>
      </c>
      <c r="V25" s="117" t="s">
        <v>21</v>
      </c>
      <c r="W25" s="848">
        <v>0</v>
      </c>
      <c r="AG25" s="31"/>
    </row>
    <row r="26" spans="1:33" s="39" customFormat="1" ht="12.75" customHeight="1">
      <c r="A26" s="1027"/>
      <c r="B26" s="1004"/>
      <c r="C26" s="463" t="s">
        <v>329</v>
      </c>
      <c r="D26" s="459" t="s">
        <v>330</v>
      </c>
      <c r="E26" s="218" t="s">
        <v>318</v>
      </c>
      <c r="F26" s="219" t="s">
        <v>119</v>
      </c>
      <c r="G26" s="754">
        <f>915568*12</f>
        <v>10986816</v>
      </c>
      <c r="H26" s="754">
        <v>270522</v>
      </c>
      <c r="I26" s="216">
        <f>66380*2</f>
        <v>132760</v>
      </c>
      <c r="J26" s="217">
        <f t="shared" si="6"/>
        <v>11390098</v>
      </c>
      <c r="K26" s="107">
        <f t="shared" si="0"/>
        <v>12210185.056</v>
      </c>
      <c r="L26" s="37"/>
      <c r="M26" s="139">
        <v>0.308</v>
      </c>
      <c r="N26" s="142">
        <f t="shared" si="1"/>
        <v>3760736.997248</v>
      </c>
      <c r="O26" s="139">
        <v>0.109</v>
      </c>
      <c r="P26" s="140">
        <f t="shared" si="2"/>
        <v>1330910.171104</v>
      </c>
      <c r="Q26" s="150">
        <f>6.2%+52.1%</f>
        <v>0.583</v>
      </c>
      <c r="R26" s="142">
        <f t="shared" si="3"/>
        <v>7118537.887647999</v>
      </c>
      <c r="S26" s="407">
        <f t="shared" si="5"/>
        <v>1</v>
      </c>
      <c r="U26" s="120">
        <v>53204100100001</v>
      </c>
      <c r="V26" s="117" t="s">
        <v>22</v>
      </c>
      <c r="W26" s="848">
        <v>4950380.929666666</v>
      </c>
      <c r="X26" s="748" t="s">
        <v>530</v>
      </c>
      <c r="AG26" s="31"/>
    </row>
    <row r="27" spans="1:33" s="39" customFormat="1" ht="12.75" customHeight="1">
      <c r="A27" s="1027"/>
      <c r="B27" s="1004"/>
      <c r="C27" s="463" t="s">
        <v>331</v>
      </c>
      <c r="D27" s="459" t="s">
        <v>332</v>
      </c>
      <c r="E27" s="218" t="s">
        <v>318</v>
      </c>
      <c r="F27" s="219" t="s">
        <v>119</v>
      </c>
      <c r="G27" s="754">
        <f>797246*12</f>
        <v>9566952</v>
      </c>
      <c r="H27" s="754">
        <v>270522</v>
      </c>
      <c r="I27" s="216">
        <f>66380*2</f>
        <v>132760</v>
      </c>
      <c r="J27" s="217">
        <f t="shared" si="6"/>
        <v>9970234</v>
      </c>
      <c r="K27" s="107">
        <f t="shared" si="0"/>
        <v>10688090.848000001</v>
      </c>
      <c r="L27" s="37"/>
      <c r="M27" s="139">
        <v>0.308</v>
      </c>
      <c r="N27" s="142">
        <f t="shared" si="1"/>
        <v>3291931.981184</v>
      </c>
      <c r="O27" s="139">
        <v>0.109</v>
      </c>
      <c r="P27" s="140">
        <f t="shared" si="2"/>
        <v>1165001.902432</v>
      </c>
      <c r="Q27" s="150">
        <f>6.2%+52.1%</f>
        <v>0.583</v>
      </c>
      <c r="R27" s="142">
        <f t="shared" si="3"/>
        <v>6231156.964384</v>
      </c>
      <c r="S27" s="407">
        <f t="shared" si="5"/>
        <v>1</v>
      </c>
      <c r="U27" s="120">
        <v>53204130100000</v>
      </c>
      <c r="V27" s="117" t="s">
        <v>23</v>
      </c>
      <c r="W27" s="848">
        <v>0</v>
      </c>
      <c r="AG27" s="31"/>
    </row>
    <row r="28" spans="1:33" s="39" customFormat="1" ht="12.75" customHeight="1">
      <c r="A28" s="1027"/>
      <c r="B28" s="1004"/>
      <c r="C28" s="463" t="s">
        <v>333</v>
      </c>
      <c r="D28" s="459" t="s">
        <v>334</v>
      </c>
      <c r="E28" s="218" t="s">
        <v>318</v>
      </c>
      <c r="F28" s="219" t="s">
        <v>119</v>
      </c>
      <c r="G28" s="754">
        <f>628796*12</f>
        <v>7545552</v>
      </c>
      <c r="H28" s="754">
        <v>270522</v>
      </c>
      <c r="I28" s="216">
        <f>66380*2</f>
        <v>132760</v>
      </c>
      <c r="J28" s="217">
        <f t="shared" si="6"/>
        <v>7948834</v>
      </c>
      <c r="K28" s="107">
        <f t="shared" si="0"/>
        <v>8521150.048</v>
      </c>
      <c r="L28" s="37"/>
      <c r="M28" s="139">
        <v>0.308</v>
      </c>
      <c r="N28" s="142">
        <f t="shared" si="1"/>
        <v>2624514.214784</v>
      </c>
      <c r="O28" s="139">
        <v>0.109</v>
      </c>
      <c r="P28" s="140">
        <f t="shared" si="2"/>
        <v>928805.355232</v>
      </c>
      <c r="Q28" s="150">
        <f>6.2%+52.1%</f>
        <v>0.583</v>
      </c>
      <c r="R28" s="142">
        <f t="shared" si="3"/>
        <v>4967830.477984</v>
      </c>
      <c r="S28" s="407">
        <f t="shared" si="5"/>
        <v>1</v>
      </c>
      <c r="U28" s="120">
        <v>53205010100000</v>
      </c>
      <c r="V28" s="117" t="s">
        <v>24</v>
      </c>
      <c r="W28" s="848">
        <v>7671602.9425</v>
      </c>
      <c r="X28" s="748" t="s">
        <v>509</v>
      </c>
      <c r="AG28" s="31"/>
    </row>
    <row r="29" spans="1:33" s="39" customFormat="1" ht="12.75" customHeight="1">
      <c r="A29" s="1027"/>
      <c r="B29" s="1004"/>
      <c r="C29" s="463" t="s">
        <v>412</v>
      </c>
      <c r="D29" s="459" t="s">
        <v>413</v>
      </c>
      <c r="E29" s="218" t="s">
        <v>335</v>
      </c>
      <c r="F29" s="219" t="s">
        <v>119</v>
      </c>
      <c r="G29" s="754">
        <v>538664</v>
      </c>
      <c r="H29" s="754">
        <v>270522</v>
      </c>
      <c r="I29" s="216">
        <f>66655*2</f>
        <v>133310</v>
      </c>
      <c r="J29" s="217">
        <f t="shared" si="6"/>
        <v>942496</v>
      </c>
      <c r="K29" s="107">
        <f t="shared" si="0"/>
        <v>1010355.712</v>
      </c>
      <c r="L29" s="37"/>
      <c r="M29" s="139">
        <v>0.328</v>
      </c>
      <c r="N29" s="142">
        <f t="shared" si="1"/>
        <v>331396.673536</v>
      </c>
      <c r="O29" s="139">
        <v>0.099</v>
      </c>
      <c r="P29" s="140">
        <f t="shared" si="2"/>
        <v>100025.21548800002</v>
      </c>
      <c r="Q29" s="150">
        <f>6.8%+50.5%</f>
        <v>0.573</v>
      </c>
      <c r="R29" s="142">
        <f t="shared" si="3"/>
        <v>578933.822976</v>
      </c>
      <c r="S29" s="407">
        <f t="shared" si="5"/>
        <v>1</v>
      </c>
      <c r="U29" s="120">
        <v>53205020100000</v>
      </c>
      <c r="V29" s="117" t="s">
        <v>25</v>
      </c>
      <c r="W29" s="848">
        <v>1342601.2238333332</v>
      </c>
      <c r="X29" s="748" t="s">
        <v>508</v>
      </c>
      <c r="AG29" s="31"/>
    </row>
    <row r="30" spans="1:33" s="39" customFormat="1" ht="12.75" customHeight="1">
      <c r="A30" s="1027"/>
      <c r="B30" s="1004"/>
      <c r="C30" s="463"/>
      <c r="D30" s="459"/>
      <c r="E30" s="218"/>
      <c r="F30" s="219"/>
      <c r="G30" s="754">
        <v>0</v>
      </c>
      <c r="H30" s="754"/>
      <c r="I30" s="216"/>
      <c r="J30" s="217">
        <f t="shared" si="6"/>
        <v>0</v>
      </c>
      <c r="K30" s="107">
        <f t="shared" si="0"/>
        <v>0</v>
      </c>
      <c r="L30" s="37"/>
      <c r="M30" s="139">
        <v>0</v>
      </c>
      <c r="N30" s="142">
        <f t="shared" si="1"/>
        <v>0</v>
      </c>
      <c r="O30" s="139">
        <v>0</v>
      </c>
      <c r="P30" s="140">
        <f t="shared" si="2"/>
        <v>0</v>
      </c>
      <c r="Q30" s="150">
        <v>0</v>
      </c>
      <c r="R30" s="142">
        <f t="shared" si="3"/>
        <v>0</v>
      </c>
      <c r="S30" s="407">
        <f t="shared" si="5"/>
        <v>0</v>
      </c>
      <c r="U30" s="120">
        <v>53205030100000</v>
      </c>
      <c r="V30" s="117" t="s">
        <v>26</v>
      </c>
      <c r="W30" s="848">
        <v>673614.2968333333</v>
      </c>
      <c r="X30" s="748" t="s">
        <v>510</v>
      </c>
      <c r="AG30" s="31"/>
    </row>
    <row r="31" spans="1:33" s="39" customFormat="1" ht="12.75" customHeight="1">
      <c r="A31" s="1027"/>
      <c r="B31" s="1004"/>
      <c r="C31" s="463"/>
      <c r="D31" s="459"/>
      <c r="E31" s="218"/>
      <c r="F31" s="530"/>
      <c r="G31" s="754">
        <v>0</v>
      </c>
      <c r="H31" s="754"/>
      <c r="I31" s="216"/>
      <c r="J31" s="217">
        <f t="shared" si="6"/>
        <v>0</v>
      </c>
      <c r="K31" s="107">
        <f t="shared" si="0"/>
        <v>0</v>
      </c>
      <c r="L31" s="37"/>
      <c r="M31" s="139">
        <v>0</v>
      </c>
      <c r="N31" s="142">
        <f t="shared" si="1"/>
        <v>0</v>
      </c>
      <c r="O31" s="139">
        <v>0</v>
      </c>
      <c r="P31" s="140">
        <f t="shared" si="2"/>
        <v>0</v>
      </c>
      <c r="Q31" s="150">
        <v>0</v>
      </c>
      <c r="R31" s="142">
        <f t="shared" si="3"/>
        <v>0</v>
      </c>
      <c r="S31" s="407">
        <f t="shared" si="5"/>
        <v>0</v>
      </c>
      <c r="U31" s="120">
        <v>53205050100000</v>
      </c>
      <c r="V31" s="117" t="s">
        <v>27</v>
      </c>
      <c r="W31" s="848">
        <v>0</v>
      </c>
      <c r="AG31" s="31"/>
    </row>
    <row r="32" spans="1:33" s="39" customFormat="1" ht="12.75" customHeight="1">
      <c r="A32" s="1027"/>
      <c r="B32" s="1004"/>
      <c r="C32" s="463"/>
      <c r="D32" s="459"/>
      <c r="E32" s="218"/>
      <c r="F32" s="219"/>
      <c r="G32" s="754">
        <v>0</v>
      </c>
      <c r="H32" s="754"/>
      <c r="I32" s="216"/>
      <c r="J32" s="217">
        <f t="shared" si="6"/>
        <v>0</v>
      </c>
      <c r="K32" s="107">
        <f t="shared" si="0"/>
        <v>0</v>
      </c>
      <c r="L32" s="37"/>
      <c r="M32" s="139">
        <v>0</v>
      </c>
      <c r="N32" s="142">
        <f t="shared" si="1"/>
        <v>0</v>
      </c>
      <c r="O32" s="139">
        <v>0</v>
      </c>
      <c r="P32" s="140">
        <f t="shared" si="2"/>
        <v>0</v>
      </c>
      <c r="Q32" s="150">
        <v>0</v>
      </c>
      <c r="R32" s="142">
        <f t="shared" si="3"/>
        <v>0</v>
      </c>
      <c r="S32" s="407">
        <f t="shared" si="5"/>
        <v>0</v>
      </c>
      <c r="U32" s="120">
        <v>53205060100000</v>
      </c>
      <c r="V32" s="117" t="s">
        <v>28</v>
      </c>
      <c r="W32" s="848">
        <v>1875866.5321666666</v>
      </c>
      <c r="AG32" s="31"/>
    </row>
    <row r="33" spans="1:33" s="39" customFormat="1" ht="12.75" customHeight="1">
      <c r="A33" s="1027"/>
      <c r="B33" s="1004"/>
      <c r="C33" s="463"/>
      <c r="D33" s="459"/>
      <c r="E33" s="218"/>
      <c r="F33" s="219"/>
      <c r="G33" s="754">
        <v>0</v>
      </c>
      <c r="H33" s="754"/>
      <c r="I33" s="216"/>
      <c r="J33" s="217">
        <f t="shared" si="6"/>
        <v>0</v>
      </c>
      <c r="K33" s="107">
        <f t="shared" si="0"/>
        <v>0</v>
      </c>
      <c r="L33" s="37"/>
      <c r="M33" s="139">
        <v>0</v>
      </c>
      <c r="N33" s="142">
        <f t="shared" si="1"/>
        <v>0</v>
      </c>
      <c r="O33" s="139">
        <v>0</v>
      </c>
      <c r="P33" s="140">
        <f t="shared" si="2"/>
        <v>0</v>
      </c>
      <c r="Q33" s="150">
        <v>0</v>
      </c>
      <c r="R33" s="142">
        <f t="shared" si="3"/>
        <v>0</v>
      </c>
      <c r="S33" s="407">
        <f t="shared" si="5"/>
        <v>0</v>
      </c>
      <c r="U33" s="120">
        <v>53205070100000</v>
      </c>
      <c r="V33" s="117" t="s">
        <v>29</v>
      </c>
      <c r="W33" s="848">
        <v>644718.5593333333</v>
      </c>
      <c r="AG33" s="31"/>
    </row>
    <row r="34" spans="1:33" s="39" customFormat="1" ht="12.75" customHeight="1" thickBot="1">
      <c r="A34" s="1027"/>
      <c r="B34" s="1005"/>
      <c r="C34" s="184"/>
      <c r="D34" s="262"/>
      <c r="E34" s="220"/>
      <c r="F34" s="221"/>
      <c r="G34" s="264">
        <v>0</v>
      </c>
      <c r="H34" s="264"/>
      <c r="I34" s="222"/>
      <c r="J34" s="223">
        <f t="shared" si="6"/>
        <v>0</v>
      </c>
      <c r="K34" s="105">
        <f t="shared" si="0"/>
        <v>0</v>
      </c>
      <c r="L34" s="37"/>
      <c r="M34" s="144">
        <v>0</v>
      </c>
      <c r="N34" s="143">
        <f t="shared" si="1"/>
        <v>0</v>
      </c>
      <c r="O34" s="144">
        <v>0</v>
      </c>
      <c r="P34" s="153">
        <f t="shared" si="2"/>
        <v>0</v>
      </c>
      <c r="Q34" s="151">
        <v>0</v>
      </c>
      <c r="R34" s="143">
        <f t="shared" si="3"/>
        <v>0</v>
      </c>
      <c r="S34" s="408">
        <f t="shared" si="5"/>
        <v>0</v>
      </c>
      <c r="U34" s="120">
        <v>53208010100000</v>
      </c>
      <c r="V34" s="117" t="s">
        <v>30</v>
      </c>
      <c r="W34" s="848">
        <v>1258987.9434999998</v>
      </c>
      <c r="AG34" s="31"/>
    </row>
    <row r="35" spans="1:33" s="39" customFormat="1" ht="12.75" customHeight="1">
      <c r="A35" s="1027"/>
      <c r="B35" s="1003" t="s">
        <v>91</v>
      </c>
      <c r="C35" s="632" t="s">
        <v>336</v>
      </c>
      <c r="D35" s="457" t="s">
        <v>337</v>
      </c>
      <c r="E35" s="213" t="s">
        <v>338</v>
      </c>
      <c r="F35" s="104" t="s">
        <v>119</v>
      </c>
      <c r="G35" s="458">
        <f>1115806*12</f>
        <v>13389672</v>
      </c>
      <c r="H35" s="754">
        <v>145000</v>
      </c>
      <c r="I35" s="216">
        <f>66655*2</f>
        <v>133310</v>
      </c>
      <c r="J35" s="466">
        <f t="shared" si="6"/>
        <v>13667982</v>
      </c>
      <c r="K35" s="106">
        <f t="shared" si="0"/>
        <v>14652076.704000002</v>
      </c>
      <c r="L35" s="37"/>
      <c r="M35" s="126">
        <v>0.215</v>
      </c>
      <c r="N35" s="141">
        <f t="shared" si="1"/>
        <v>3150196.4913600003</v>
      </c>
      <c r="O35" s="126">
        <v>0.061</v>
      </c>
      <c r="P35" s="152">
        <f t="shared" si="2"/>
        <v>893776.678944</v>
      </c>
      <c r="Q35" s="149">
        <f>8.1%+64.3%</f>
        <v>0.724</v>
      </c>
      <c r="R35" s="141">
        <f t="shared" si="3"/>
        <v>10608103.533696001</v>
      </c>
      <c r="S35" s="406">
        <f t="shared" si="5"/>
        <v>1</v>
      </c>
      <c r="U35" s="120">
        <v>53208070100001</v>
      </c>
      <c r="V35" s="117" t="s">
        <v>31</v>
      </c>
      <c r="W35" s="848">
        <v>1481635.4804999998</v>
      </c>
      <c r="AG35" s="31"/>
    </row>
    <row r="36" spans="1:33" s="39" customFormat="1" ht="12.75" customHeight="1">
      <c r="A36" s="1027"/>
      <c r="B36" s="1004"/>
      <c r="C36" s="463"/>
      <c r="D36" s="459"/>
      <c r="E36" s="218"/>
      <c r="F36" s="219"/>
      <c r="G36" s="754">
        <v>0</v>
      </c>
      <c r="H36" s="754"/>
      <c r="I36" s="216"/>
      <c r="J36" s="217">
        <f t="shared" si="6"/>
        <v>0</v>
      </c>
      <c r="K36" s="107">
        <f t="shared" si="0"/>
        <v>0</v>
      </c>
      <c r="L36" s="37"/>
      <c r="M36" s="139">
        <v>0</v>
      </c>
      <c r="N36" s="142">
        <f t="shared" si="1"/>
        <v>0</v>
      </c>
      <c r="O36" s="139">
        <v>0</v>
      </c>
      <c r="P36" s="140">
        <f t="shared" si="2"/>
        <v>0</v>
      </c>
      <c r="Q36" s="150">
        <v>0</v>
      </c>
      <c r="R36" s="142">
        <f t="shared" si="3"/>
        <v>0</v>
      </c>
      <c r="S36" s="407">
        <f t="shared" si="5"/>
        <v>0</v>
      </c>
      <c r="U36" s="120">
        <v>53208100100001</v>
      </c>
      <c r="V36" s="117" t="s">
        <v>131</v>
      </c>
      <c r="W36" s="848">
        <v>0</v>
      </c>
      <c r="AG36" s="31"/>
    </row>
    <row r="37" spans="1:33" s="39" customFormat="1" ht="12.75" customHeight="1">
      <c r="A37" s="1027"/>
      <c r="B37" s="1004"/>
      <c r="C37" s="463"/>
      <c r="D37" s="459"/>
      <c r="E37" s="218"/>
      <c r="F37" s="219"/>
      <c r="G37" s="754">
        <v>0</v>
      </c>
      <c r="H37" s="754"/>
      <c r="I37" s="216"/>
      <c r="J37" s="217">
        <f t="shared" si="6"/>
        <v>0</v>
      </c>
      <c r="K37" s="107">
        <f t="shared" si="0"/>
        <v>0</v>
      </c>
      <c r="L37" s="37"/>
      <c r="M37" s="139">
        <v>0</v>
      </c>
      <c r="N37" s="142">
        <f t="shared" si="1"/>
        <v>0</v>
      </c>
      <c r="O37" s="139">
        <v>0</v>
      </c>
      <c r="P37" s="140">
        <f t="shared" si="2"/>
        <v>0</v>
      </c>
      <c r="Q37" s="150">
        <v>0</v>
      </c>
      <c r="R37" s="142">
        <f t="shared" si="3"/>
        <v>0</v>
      </c>
      <c r="S37" s="407">
        <f t="shared" si="5"/>
        <v>0</v>
      </c>
      <c r="U37" s="120">
        <v>53211030000000</v>
      </c>
      <c r="V37" s="117" t="s">
        <v>32</v>
      </c>
      <c r="W37" s="848">
        <v>0</v>
      </c>
      <c r="AG37" s="31"/>
    </row>
    <row r="38" spans="1:33" s="39" customFormat="1" ht="12.75" customHeight="1">
      <c r="A38" s="1027"/>
      <c r="B38" s="1004"/>
      <c r="C38" s="463"/>
      <c r="D38" s="459"/>
      <c r="E38" s="218"/>
      <c r="F38" s="219"/>
      <c r="G38" s="754">
        <v>0</v>
      </c>
      <c r="H38" s="754"/>
      <c r="I38" s="216"/>
      <c r="J38" s="217">
        <f t="shared" si="6"/>
        <v>0</v>
      </c>
      <c r="K38" s="107">
        <f t="shared" si="0"/>
        <v>0</v>
      </c>
      <c r="L38" s="37"/>
      <c r="M38" s="139">
        <v>0</v>
      </c>
      <c r="N38" s="142">
        <f t="shared" si="1"/>
        <v>0</v>
      </c>
      <c r="O38" s="139">
        <v>0</v>
      </c>
      <c r="P38" s="140">
        <f t="shared" si="2"/>
        <v>0</v>
      </c>
      <c r="Q38" s="150">
        <v>0</v>
      </c>
      <c r="R38" s="142">
        <f t="shared" si="3"/>
        <v>0</v>
      </c>
      <c r="S38" s="407">
        <f t="shared" si="5"/>
        <v>0</v>
      </c>
      <c r="U38" s="120">
        <v>53212020100000</v>
      </c>
      <c r="V38" s="117" t="s">
        <v>98</v>
      </c>
      <c r="W38" s="848">
        <v>16275728.28</v>
      </c>
      <c r="X38" s="748" t="s">
        <v>511</v>
      </c>
      <c r="AG38" s="31"/>
    </row>
    <row r="39" spans="1:33" s="39" customFormat="1" ht="12.75" customHeight="1" thickBot="1">
      <c r="A39" s="1027"/>
      <c r="B39" s="1005"/>
      <c r="C39" s="184"/>
      <c r="D39" s="262"/>
      <c r="E39" s="220"/>
      <c r="F39" s="221"/>
      <c r="G39" s="264">
        <v>0</v>
      </c>
      <c r="H39" s="264"/>
      <c r="I39" s="222"/>
      <c r="J39" s="223">
        <f t="shared" si="6"/>
        <v>0</v>
      </c>
      <c r="K39" s="105">
        <f t="shared" si="0"/>
        <v>0</v>
      </c>
      <c r="L39" s="37"/>
      <c r="M39" s="144">
        <v>0</v>
      </c>
      <c r="N39" s="143">
        <f t="shared" si="1"/>
        <v>0</v>
      </c>
      <c r="O39" s="144">
        <v>0</v>
      </c>
      <c r="P39" s="153">
        <f t="shared" si="2"/>
        <v>0</v>
      </c>
      <c r="Q39" s="151">
        <v>0</v>
      </c>
      <c r="R39" s="143">
        <f t="shared" si="3"/>
        <v>0</v>
      </c>
      <c r="S39" s="408">
        <f t="shared" si="5"/>
        <v>0</v>
      </c>
      <c r="U39" s="120">
        <v>53214020000000</v>
      </c>
      <c r="V39" s="117" t="s">
        <v>33</v>
      </c>
      <c r="W39" s="848">
        <v>0</v>
      </c>
      <c r="AG39" s="31"/>
    </row>
    <row r="40" spans="1:33" s="39" customFormat="1" ht="12.75" customHeight="1">
      <c r="A40" s="1027"/>
      <c r="B40" s="1006" t="s">
        <v>120</v>
      </c>
      <c r="C40" s="113" t="s">
        <v>339</v>
      </c>
      <c r="D40" s="101" t="s">
        <v>340</v>
      </c>
      <c r="E40" s="102" t="s">
        <v>341</v>
      </c>
      <c r="F40" s="103" t="s">
        <v>119</v>
      </c>
      <c r="G40" s="458">
        <f>630720*12</f>
        <v>7568640</v>
      </c>
      <c r="H40" s="754">
        <v>270522</v>
      </c>
      <c r="I40" s="216">
        <f>66655*2</f>
        <v>133310</v>
      </c>
      <c r="J40" s="109">
        <f>SUM(G40:I40)</f>
        <v>7972472</v>
      </c>
      <c r="K40" s="111">
        <f t="shared" si="0"/>
        <v>8546489.984000001</v>
      </c>
      <c r="L40" s="37"/>
      <c r="M40" s="126">
        <v>0.35</v>
      </c>
      <c r="N40" s="141">
        <f t="shared" si="1"/>
        <v>2991271.4944</v>
      </c>
      <c r="O40" s="126">
        <v>0.1</v>
      </c>
      <c r="P40" s="152">
        <f t="shared" si="2"/>
        <v>854648.9984000002</v>
      </c>
      <c r="Q40" s="149">
        <f>21%+34%</f>
        <v>0.55</v>
      </c>
      <c r="R40" s="141">
        <f t="shared" si="3"/>
        <v>4700569.491200001</v>
      </c>
      <c r="S40" s="406">
        <f t="shared" si="5"/>
        <v>1</v>
      </c>
      <c r="U40" s="118"/>
      <c r="V40" s="115" t="s">
        <v>34</v>
      </c>
      <c r="W40" s="121">
        <f>SUM(W41,W46,W49,W60,W70,W78)</f>
        <v>32893473.92566666</v>
      </c>
      <c r="AG40" s="31"/>
    </row>
    <row r="41" spans="1:33" s="39" customFormat="1" ht="12.75" customHeight="1">
      <c r="A41" s="1027"/>
      <c r="B41" s="1007"/>
      <c r="C41" s="526" t="s">
        <v>342</v>
      </c>
      <c r="D41" s="527" t="s">
        <v>343</v>
      </c>
      <c r="E41" s="528" t="s">
        <v>344</v>
      </c>
      <c r="F41" s="529" t="s">
        <v>119</v>
      </c>
      <c r="G41" s="754">
        <f>757815*12</f>
        <v>9093780</v>
      </c>
      <c r="H41" s="754">
        <v>270522</v>
      </c>
      <c r="I41" s="216">
        <f>66655*2</f>
        <v>133310</v>
      </c>
      <c r="J41" s="110">
        <f aca="true" t="shared" si="7" ref="J41:J48">SUM(G41:I41)</f>
        <v>9497612</v>
      </c>
      <c r="K41" s="112">
        <f t="shared" si="0"/>
        <v>10181440.064000001</v>
      </c>
      <c r="L41" s="37"/>
      <c r="M41" s="139">
        <v>0.4015</v>
      </c>
      <c r="N41" s="142">
        <f t="shared" si="1"/>
        <v>4087848.1856960007</v>
      </c>
      <c r="O41" s="139">
        <v>0.09</v>
      </c>
      <c r="P41" s="140">
        <f t="shared" si="2"/>
        <v>916329.6057600001</v>
      </c>
      <c r="Q41" s="150">
        <f>17.7%+33.15%</f>
        <v>0.5085</v>
      </c>
      <c r="R41" s="142">
        <f t="shared" si="3"/>
        <v>5177262.272544</v>
      </c>
      <c r="S41" s="407">
        <f t="shared" si="5"/>
        <v>1</v>
      </c>
      <c r="U41" s="119"/>
      <c r="V41" s="116" t="s">
        <v>35</v>
      </c>
      <c r="W41" s="122">
        <f>SUM(W42:W45)</f>
        <v>2543669.090666666</v>
      </c>
      <c r="AG41" s="31"/>
    </row>
    <row r="42" spans="1:33" s="39" customFormat="1" ht="12.75" customHeight="1">
      <c r="A42" s="1027"/>
      <c r="B42" s="1007"/>
      <c r="C42" s="526" t="s">
        <v>345</v>
      </c>
      <c r="D42" s="527" t="s">
        <v>346</v>
      </c>
      <c r="E42" s="528" t="s">
        <v>347</v>
      </c>
      <c r="F42" s="529" t="s">
        <v>119</v>
      </c>
      <c r="G42" s="754">
        <f>1819828*12</f>
        <v>21837936</v>
      </c>
      <c r="H42" s="754">
        <v>145000</v>
      </c>
      <c r="I42" s="216">
        <f>65138*2</f>
        <v>130276</v>
      </c>
      <c r="J42" s="110">
        <f t="shared" si="7"/>
        <v>22113212</v>
      </c>
      <c r="K42" s="112">
        <f t="shared" si="0"/>
        <v>23705363.264000002</v>
      </c>
      <c r="L42" s="37"/>
      <c r="M42" s="139">
        <v>0.25</v>
      </c>
      <c r="N42" s="142">
        <f t="shared" si="1"/>
        <v>5926340.816000001</v>
      </c>
      <c r="O42" s="139">
        <v>0.045</v>
      </c>
      <c r="P42" s="140">
        <f t="shared" si="2"/>
        <v>1066741.34688</v>
      </c>
      <c r="Q42" s="150">
        <f>8%+62.5%</f>
        <v>0.705</v>
      </c>
      <c r="R42" s="142">
        <f t="shared" si="3"/>
        <v>16712281.10112</v>
      </c>
      <c r="S42" s="407">
        <f t="shared" si="5"/>
        <v>1</v>
      </c>
      <c r="U42" s="120">
        <v>53202020100000</v>
      </c>
      <c r="V42" s="117" t="s">
        <v>39</v>
      </c>
      <c r="W42" s="848">
        <v>0</v>
      </c>
      <c r="AG42" s="31"/>
    </row>
    <row r="43" spans="1:33" s="39" customFormat="1" ht="12.75" customHeight="1">
      <c r="A43" s="1027"/>
      <c r="B43" s="1007"/>
      <c r="C43" s="526" t="s">
        <v>348</v>
      </c>
      <c r="D43" s="527" t="s">
        <v>349</v>
      </c>
      <c r="E43" s="528" t="s">
        <v>350</v>
      </c>
      <c r="F43" s="529" t="s">
        <v>119</v>
      </c>
      <c r="G43" s="754">
        <f>1467839*12</f>
        <v>17614068</v>
      </c>
      <c r="H43" s="754">
        <v>145000</v>
      </c>
      <c r="I43" s="216">
        <f>65138*2</f>
        <v>130276</v>
      </c>
      <c r="J43" s="110">
        <f t="shared" si="7"/>
        <v>17889344</v>
      </c>
      <c r="K43" s="112">
        <f t="shared" si="0"/>
        <v>19177376.768000003</v>
      </c>
      <c r="L43" s="37"/>
      <c r="M43" s="139">
        <v>0.2</v>
      </c>
      <c r="N43" s="142">
        <f t="shared" si="1"/>
        <v>3835475.353600001</v>
      </c>
      <c r="O43" s="139">
        <v>0.04</v>
      </c>
      <c r="P43" s="140">
        <f t="shared" si="2"/>
        <v>767095.0707200001</v>
      </c>
      <c r="Q43" s="150">
        <f>14%+62%</f>
        <v>0.76</v>
      </c>
      <c r="R43" s="142">
        <f t="shared" si="3"/>
        <v>14574806.343680002</v>
      </c>
      <c r="S43" s="407">
        <f t="shared" si="5"/>
        <v>1</v>
      </c>
      <c r="U43" s="120">
        <v>53202030000000</v>
      </c>
      <c r="V43" s="117" t="s">
        <v>40</v>
      </c>
      <c r="W43" s="848">
        <v>0</v>
      </c>
      <c r="AG43" s="31"/>
    </row>
    <row r="44" spans="1:33" s="39" customFormat="1" ht="12.75" customHeight="1">
      <c r="A44" s="1027"/>
      <c r="B44" s="1007"/>
      <c r="C44" s="526" t="s">
        <v>351</v>
      </c>
      <c r="D44" s="527" t="s">
        <v>352</v>
      </c>
      <c r="E44" s="218" t="s">
        <v>318</v>
      </c>
      <c r="F44" s="529" t="s">
        <v>119</v>
      </c>
      <c r="G44" s="754">
        <f>737221*12</f>
        <v>8846652</v>
      </c>
      <c r="H44" s="754">
        <v>270522</v>
      </c>
      <c r="I44" s="216">
        <f>66655*2</f>
        <v>133310</v>
      </c>
      <c r="J44" s="110">
        <f t="shared" si="7"/>
        <v>9250484</v>
      </c>
      <c r="K44" s="112">
        <f t="shared" si="0"/>
        <v>9916518.848000001</v>
      </c>
      <c r="L44" s="37"/>
      <c r="M44" s="139">
        <v>0.2</v>
      </c>
      <c r="N44" s="142">
        <f t="shared" si="1"/>
        <v>1983303.7696000002</v>
      </c>
      <c r="O44" s="139">
        <v>0.04</v>
      </c>
      <c r="P44" s="140">
        <f t="shared" si="2"/>
        <v>396660.75392000005</v>
      </c>
      <c r="Q44" s="150">
        <f>14%+62%</f>
        <v>0.76</v>
      </c>
      <c r="R44" s="142">
        <f t="shared" si="3"/>
        <v>7536554.324480001</v>
      </c>
      <c r="S44" s="407">
        <f t="shared" si="5"/>
        <v>1</v>
      </c>
      <c r="U44" s="120">
        <v>53211020000000</v>
      </c>
      <c r="V44" s="117" t="s">
        <v>41</v>
      </c>
      <c r="W44" s="848">
        <v>0</v>
      </c>
      <c r="AG44" s="31"/>
    </row>
    <row r="45" spans="1:33" s="39" customFormat="1" ht="12.75" customHeight="1">
      <c r="A45" s="1027"/>
      <c r="B45" s="1007"/>
      <c r="C45" s="526" t="s">
        <v>353</v>
      </c>
      <c r="D45" s="527" t="s">
        <v>354</v>
      </c>
      <c r="E45" s="218" t="s">
        <v>318</v>
      </c>
      <c r="F45" s="529" t="s">
        <v>355</v>
      </c>
      <c r="G45" s="754">
        <f>696369*12</f>
        <v>8356428</v>
      </c>
      <c r="H45" s="754">
        <v>270522</v>
      </c>
      <c r="I45" s="216">
        <f>66655*2</f>
        <v>133310</v>
      </c>
      <c r="J45" s="110">
        <f t="shared" si="7"/>
        <v>8760260</v>
      </c>
      <c r="K45" s="112">
        <f t="shared" si="0"/>
        <v>9390998.72</v>
      </c>
      <c r="L45" s="37"/>
      <c r="M45" s="139">
        <v>0.11</v>
      </c>
      <c r="N45" s="142">
        <f t="shared" si="1"/>
        <v>1033009.8592000001</v>
      </c>
      <c r="O45" s="139">
        <v>0.03</v>
      </c>
      <c r="P45" s="140">
        <f t="shared" si="2"/>
        <v>281729.96160000004</v>
      </c>
      <c r="Q45" s="150">
        <f>3%+83%</f>
        <v>0.86</v>
      </c>
      <c r="R45" s="142">
        <f t="shared" si="3"/>
        <v>8076258.899200001</v>
      </c>
      <c r="S45" s="407">
        <f t="shared" si="5"/>
        <v>1</v>
      </c>
      <c r="U45" s="120">
        <v>53101004030000</v>
      </c>
      <c r="V45" s="117" t="s">
        <v>38</v>
      </c>
      <c r="W45" s="848">
        <v>2543669.090666666</v>
      </c>
      <c r="AG45" s="31"/>
    </row>
    <row r="46" spans="1:33" s="39" customFormat="1" ht="12.75" customHeight="1">
      <c r="A46" s="1027"/>
      <c r="B46" s="1007"/>
      <c r="C46" s="740"/>
      <c r="D46" s="741"/>
      <c r="E46" s="742"/>
      <c r="F46" s="743"/>
      <c r="G46" s="754">
        <v>0</v>
      </c>
      <c r="H46" s="754">
        <v>0</v>
      </c>
      <c r="I46" s="216">
        <v>0</v>
      </c>
      <c r="J46" s="757">
        <f t="shared" si="7"/>
        <v>0</v>
      </c>
      <c r="K46" s="758">
        <f t="shared" si="0"/>
        <v>0</v>
      </c>
      <c r="L46" s="37"/>
      <c r="M46" s="139">
        <v>0</v>
      </c>
      <c r="N46" s="142">
        <f t="shared" si="1"/>
        <v>0</v>
      </c>
      <c r="O46" s="139">
        <v>0</v>
      </c>
      <c r="P46" s="140">
        <f t="shared" si="2"/>
        <v>0</v>
      </c>
      <c r="Q46" s="630">
        <v>0</v>
      </c>
      <c r="R46" s="142">
        <f t="shared" si="3"/>
        <v>0</v>
      </c>
      <c r="S46" s="407">
        <f t="shared" si="5"/>
        <v>0</v>
      </c>
      <c r="U46" s="119"/>
      <c r="V46" s="116" t="s">
        <v>42</v>
      </c>
      <c r="W46" s="122">
        <f>SUM(W47:W48)</f>
        <v>639163.672</v>
      </c>
      <c r="AG46" s="31"/>
    </row>
    <row r="47" spans="1:33" s="39" customFormat="1" ht="12.75" customHeight="1">
      <c r="A47" s="1027"/>
      <c r="B47" s="1007"/>
      <c r="C47" s="740"/>
      <c r="D47" s="744"/>
      <c r="E47" s="528"/>
      <c r="F47" s="529"/>
      <c r="G47" s="754">
        <v>0</v>
      </c>
      <c r="H47" s="754">
        <v>0</v>
      </c>
      <c r="I47" s="216">
        <v>0</v>
      </c>
      <c r="J47" s="110">
        <f t="shared" si="7"/>
        <v>0</v>
      </c>
      <c r="K47" s="112">
        <f t="shared" si="0"/>
        <v>0</v>
      </c>
      <c r="L47" s="37"/>
      <c r="M47" s="139">
        <v>0</v>
      </c>
      <c r="N47" s="142">
        <f t="shared" si="1"/>
        <v>0</v>
      </c>
      <c r="O47" s="139">
        <v>0</v>
      </c>
      <c r="P47" s="140">
        <f t="shared" si="2"/>
        <v>0</v>
      </c>
      <c r="Q47" s="150">
        <v>0</v>
      </c>
      <c r="R47" s="142">
        <f t="shared" si="3"/>
        <v>0</v>
      </c>
      <c r="S47" s="407">
        <f t="shared" si="5"/>
        <v>0</v>
      </c>
      <c r="U47" s="120">
        <v>53205080000000</v>
      </c>
      <c r="V47" s="117" t="s">
        <v>43</v>
      </c>
      <c r="W47" s="848">
        <v>0</v>
      </c>
      <c r="AG47" s="31"/>
    </row>
    <row r="48" spans="1:33" s="39" customFormat="1" ht="12.75" customHeight="1">
      <c r="A48" s="1027"/>
      <c r="B48" s="1007"/>
      <c r="C48" s="526"/>
      <c r="D48" s="527"/>
      <c r="E48" s="528"/>
      <c r="F48" s="529"/>
      <c r="G48" s="754">
        <v>0</v>
      </c>
      <c r="H48" s="754">
        <v>0</v>
      </c>
      <c r="I48" s="216">
        <v>0</v>
      </c>
      <c r="J48" s="110">
        <f t="shared" si="7"/>
        <v>0</v>
      </c>
      <c r="K48" s="112">
        <f t="shared" si="0"/>
        <v>0</v>
      </c>
      <c r="L48" s="37"/>
      <c r="M48" s="139">
        <v>0</v>
      </c>
      <c r="N48" s="142">
        <f t="shared" si="1"/>
        <v>0</v>
      </c>
      <c r="O48" s="139">
        <v>0</v>
      </c>
      <c r="P48" s="140">
        <f t="shared" si="2"/>
        <v>0</v>
      </c>
      <c r="Q48" s="150">
        <v>0</v>
      </c>
      <c r="R48" s="142">
        <f t="shared" si="3"/>
        <v>0</v>
      </c>
      <c r="S48" s="407">
        <f t="shared" si="5"/>
        <v>0</v>
      </c>
      <c r="U48" s="120">
        <v>53205990000000</v>
      </c>
      <c r="V48" s="117" t="s">
        <v>44</v>
      </c>
      <c r="W48" s="848">
        <v>639163.672</v>
      </c>
      <c r="AG48" s="31"/>
    </row>
    <row r="49" spans="1:33" s="39" customFormat="1" ht="12.75" customHeight="1">
      <c r="A49" s="1027"/>
      <c r="B49" s="1007"/>
      <c r="C49" s="526"/>
      <c r="D49" s="527"/>
      <c r="E49" s="528"/>
      <c r="F49" s="529"/>
      <c r="G49" s="754">
        <v>0</v>
      </c>
      <c r="H49" s="754">
        <v>0</v>
      </c>
      <c r="I49" s="216">
        <v>0</v>
      </c>
      <c r="J49" s="110">
        <f aca="true" t="shared" si="8" ref="J49:J61">SUM(G49:I49)</f>
        <v>0</v>
      </c>
      <c r="K49" s="112">
        <f t="shared" si="0"/>
        <v>0</v>
      </c>
      <c r="L49" s="37"/>
      <c r="M49" s="139">
        <v>0</v>
      </c>
      <c r="N49" s="142">
        <f t="shared" si="1"/>
        <v>0</v>
      </c>
      <c r="O49" s="139">
        <v>0</v>
      </c>
      <c r="P49" s="140">
        <f t="shared" si="2"/>
        <v>0</v>
      </c>
      <c r="Q49" s="150">
        <v>0</v>
      </c>
      <c r="R49" s="142">
        <f t="shared" si="3"/>
        <v>0</v>
      </c>
      <c r="S49" s="407">
        <f t="shared" si="5"/>
        <v>0</v>
      </c>
      <c r="U49" s="119"/>
      <c r="V49" s="116" t="s">
        <v>45</v>
      </c>
      <c r="W49" s="122">
        <f>SUM(W50:W59)</f>
        <v>10157671.1705</v>
      </c>
      <c r="AG49" s="31"/>
    </row>
    <row r="50" spans="1:33" s="39" customFormat="1" ht="12.75" customHeight="1">
      <c r="A50" s="1027"/>
      <c r="B50" s="1007"/>
      <c r="C50" s="526"/>
      <c r="D50" s="527"/>
      <c r="E50" s="528"/>
      <c r="F50" s="529"/>
      <c r="G50" s="754">
        <v>0</v>
      </c>
      <c r="H50" s="754">
        <v>0</v>
      </c>
      <c r="I50" s="216">
        <v>0</v>
      </c>
      <c r="J50" s="110">
        <f t="shared" si="8"/>
        <v>0</v>
      </c>
      <c r="K50" s="112">
        <f t="shared" si="0"/>
        <v>0</v>
      </c>
      <c r="L50" s="37"/>
      <c r="M50" s="139">
        <v>0</v>
      </c>
      <c r="N50" s="142">
        <f t="shared" si="1"/>
        <v>0</v>
      </c>
      <c r="O50" s="139">
        <v>0</v>
      </c>
      <c r="P50" s="140">
        <f t="shared" si="2"/>
        <v>0</v>
      </c>
      <c r="Q50" s="150">
        <v>0</v>
      </c>
      <c r="R50" s="142">
        <f t="shared" si="3"/>
        <v>0</v>
      </c>
      <c r="S50" s="407">
        <f t="shared" si="5"/>
        <v>0</v>
      </c>
      <c r="U50" s="120">
        <v>53203010200000</v>
      </c>
      <c r="V50" s="117" t="s">
        <v>46</v>
      </c>
      <c r="W50" s="848">
        <v>0</v>
      </c>
      <c r="AG50" s="31"/>
    </row>
    <row r="51" spans="1:33" s="39" customFormat="1" ht="12.75" customHeight="1">
      <c r="A51" s="1027"/>
      <c r="B51" s="1007"/>
      <c r="C51" s="526"/>
      <c r="D51" s="527"/>
      <c r="E51" s="528"/>
      <c r="F51" s="529"/>
      <c r="G51" s="754">
        <v>0</v>
      </c>
      <c r="H51" s="754">
        <v>0</v>
      </c>
      <c r="I51" s="216">
        <v>0</v>
      </c>
      <c r="J51" s="110">
        <f t="shared" si="8"/>
        <v>0</v>
      </c>
      <c r="K51" s="112">
        <f t="shared" si="0"/>
        <v>0</v>
      </c>
      <c r="L51" s="37"/>
      <c r="M51" s="139">
        <v>0</v>
      </c>
      <c r="N51" s="142">
        <f t="shared" si="1"/>
        <v>0</v>
      </c>
      <c r="O51" s="139">
        <v>0</v>
      </c>
      <c r="P51" s="140">
        <f t="shared" si="2"/>
        <v>0</v>
      </c>
      <c r="Q51" s="150">
        <v>0</v>
      </c>
      <c r="R51" s="142">
        <f t="shared" si="3"/>
        <v>0</v>
      </c>
      <c r="S51" s="407">
        <f t="shared" si="5"/>
        <v>0</v>
      </c>
      <c r="U51" s="120">
        <v>53204010000000</v>
      </c>
      <c r="V51" s="117" t="s">
        <v>47</v>
      </c>
      <c r="W51" s="848">
        <v>3261933.1815</v>
      </c>
      <c r="AG51" s="31"/>
    </row>
    <row r="52" spans="1:33" s="39" customFormat="1" ht="12.75" customHeight="1">
      <c r="A52" s="1027"/>
      <c r="B52" s="1007"/>
      <c r="C52" s="526"/>
      <c r="D52" s="527"/>
      <c r="E52" s="528"/>
      <c r="F52" s="529"/>
      <c r="G52" s="754">
        <v>0</v>
      </c>
      <c r="H52" s="754">
        <v>0</v>
      </c>
      <c r="I52" s="216">
        <v>0</v>
      </c>
      <c r="J52" s="110">
        <f t="shared" si="8"/>
        <v>0</v>
      </c>
      <c r="K52" s="112">
        <f t="shared" si="0"/>
        <v>0</v>
      </c>
      <c r="L52" s="37"/>
      <c r="M52" s="139">
        <v>0</v>
      </c>
      <c r="N52" s="142">
        <f t="shared" si="1"/>
        <v>0</v>
      </c>
      <c r="O52" s="139">
        <v>0</v>
      </c>
      <c r="P52" s="140">
        <f t="shared" si="2"/>
        <v>0</v>
      </c>
      <c r="Q52" s="150">
        <v>0</v>
      </c>
      <c r="R52" s="142">
        <f t="shared" si="3"/>
        <v>0</v>
      </c>
      <c r="S52" s="407">
        <f t="shared" si="5"/>
        <v>0</v>
      </c>
      <c r="U52" s="120">
        <v>53204040200000</v>
      </c>
      <c r="V52" s="117" t="s">
        <v>48</v>
      </c>
      <c r="W52" s="848">
        <v>0</v>
      </c>
      <c r="AG52" s="31"/>
    </row>
    <row r="53" spans="1:33" s="39" customFormat="1" ht="12.75" customHeight="1">
      <c r="A53" s="1027"/>
      <c r="B53" s="1007"/>
      <c r="C53" s="526"/>
      <c r="D53" s="527"/>
      <c r="E53" s="528"/>
      <c r="F53" s="529"/>
      <c r="G53" s="754">
        <v>0</v>
      </c>
      <c r="H53" s="754">
        <v>0</v>
      </c>
      <c r="I53" s="216">
        <v>0</v>
      </c>
      <c r="J53" s="110">
        <f t="shared" si="8"/>
        <v>0</v>
      </c>
      <c r="K53" s="112">
        <f t="shared" si="0"/>
        <v>0</v>
      </c>
      <c r="L53" s="37"/>
      <c r="M53" s="139">
        <v>0</v>
      </c>
      <c r="N53" s="142">
        <f t="shared" si="1"/>
        <v>0</v>
      </c>
      <c r="O53" s="139">
        <v>0</v>
      </c>
      <c r="P53" s="140">
        <f t="shared" si="2"/>
        <v>0</v>
      </c>
      <c r="Q53" s="150">
        <v>0</v>
      </c>
      <c r="R53" s="142">
        <f t="shared" si="3"/>
        <v>0</v>
      </c>
      <c r="S53" s="407">
        <f t="shared" si="5"/>
        <v>0</v>
      </c>
      <c r="U53" s="120">
        <v>53204060000000</v>
      </c>
      <c r="V53" s="117" t="s">
        <v>49</v>
      </c>
      <c r="W53" s="848">
        <v>0</v>
      </c>
      <c r="AG53" s="31"/>
    </row>
    <row r="54" spans="1:33" s="39" customFormat="1" ht="12.75" customHeight="1">
      <c r="A54" s="1027"/>
      <c r="B54" s="1007"/>
      <c r="C54" s="526"/>
      <c r="D54" s="527"/>
      <c r="E54" s="528"/>
      <c r="F54" s="529"/>
      <c r="G54" s="754">
        <v>0</v>
      </c>
      <c r="H54" s="754">
        <v>0</v>
      </c>
      <c r="I54" s="216">
        <v>0</v>
      </c>
      <c r="J54" s="110">
        <f t="shared" si="8"/>
        <v>0</v>
      </c>
      <c r="K54" s="112">
        <f t="shared" si="0"/>
        <v>0</v>
      </c>
      <c r="L54" s="37"/>
      <c r="M54" s="139">
        <v>0</v>
      </c>
      <c r="N54" s="142">
        <f t="shared" si="1"/>
        <v>0</v>
      </c>
      <c r="O54" s="139">
        <v>0</v>
      </c>
      <c r="P54" s="140">
        <f t="shared" si="2"/>
        <v>0</v>
      </c>
      <c r="Q54" s="150">
        <v>0</v>
      </c>
      <c r="R54" s="142">
        <f t="shared" si="3"/>
        <v>0</v>
      </c>
      <c r="S54" s="407">
        <f t="shared" si="5"/>
        <v>0</v>
      </c>
      <c r="U54" s="120">
        <v>53204070000000</v>
      </c>
      <c r="V54" s="117" t="s">
        <v>50</v>
      </c>
      <c r="W54" s="848">
        <v>4142616.4208333334</v>
      </c>
      <c r="AG54" s="31"/>
    </row>
    <row r="55" spans="1:33" s="39" customFormat="1" ht="12.75" customHeight="1">
      <c r="A55" s="1027"/>
      <c r="B55" s="1007"/>
      <c r="C55" s="526"/>
      <c r="D55" s="527"/>
      <c r="E55" s="528"/>
      <c r="F55" s="529"/>
      <c r="G55" s="754">
        <v>0</v>
      </c>
      <c r="H55" s="754">
        <v>0</v>
      </c>
      <c r="I55" s="216">
        <v>0</v>
      </c>
      <c r="J55" s="110">
        <f t="shared" si="8"/>
        <v>0</v>
      </c>
      <c r="K55" s="112">
        <f t="shared" si="0"/>
        <v>0</v>
      </c>
      <c r="L55" s="37"/>
      <c r="M55" s="139">
        <v>0</v>
      </c>
      <c r="N55" s="142">
        <f t="shared" si="1"/>
        <v>0</v>
      </c>
      <c r="O55" s="139">
        <v>0</v>
      </c>
      <c r="P55" s="140">
        <f t="shared" si="2"/>
        <v>0</v>
      </c>
      <c r="Q55" s="150">
        <v>0</v>
      </c>
      <c r="R55" s="142">
        <f t="shared" si="3"/>
        <v>0</v>
      </c>
      <c r="S55" s="407">
        <f t="shared" si="5"/>
        <v>0</v>
      </c>
      <c r="U55" s="120">
        <v>53204080000000</v>
      </c>
      <c r="V55" s="117" t="s">
        <v>51</v>
      </c>
      <c r="W55" s="848">
        <v>2753121.568166666</v>
      </c>
      <c r="AG55" s="31"/>
    </row>
    <row r="56" spans="1:33" s="39" customFormat="1" ht="12.75" customHeight="1">
      <c r="A56" s="1027"/>
      <c r="B56" s="1007"/>
      <c r="C56" s="526"/>
      <c r="D56" s="527"/>
      <c r="E56" s="528"/>
      <c r="F56" s="529"/>
      <c r="G56" s="754">
        <v>0</v>
      </c>
      <c r="H56" s="754">
        <v>0</v>
      </c>
      <c r="I56" s="216">
        <v>0</v>
      </c>
      <c r="J56" s="110">
        <f t="shared" si="8"/>
        <v>0</v>
      </c>
      <c r="K56" s="112">
        <f t="shared" si="0"/>
        <v>0</v>
      </c>
      <c r="L56" s="37"/>
      <c r="M56" s="139">
        <v>0</v>
      </c>
      <c r="N56" s="142">
        <f t="shared" si="1"/>
        <v>0</v>
      </c>
      <c r="O56" s="139">
        <v>0</v>
      </c>
      <c r="P56" s="140">
        <f t="shared" si="2"/>
        <v>0</v>
      </c>
      <c r="Q56" s="150">
        <v>0</v>
      </c>
      <c r="R56" s="142">
        <f t="shared" si="3"/>
        <v>0</v>
      </c>
      <c r="S56" s="407">
        <f t="shared" si="5"/>
        <v>0</v>
      </c>
      <c r="U56" s="120">
        <v>53214010000000</v>
      </c>
      <c r="V56" s="117" t="s">
        <v>52</v>
      </c>
      <c r="W56" s="848">
        <v>0</v>
      </c>
      <c r="AG56" s="31"/>
    </row>
    <row r="57" spans="1:33" s="39" customFormat="1" ht="12.75" customHeight="1">
      <c r="A57" s="1027"/>
      <c r="B57" s="1007"/>
      <c r="C57" s="526"/>
      <c r="D57" s="527"/>
      <c r="E57" s="528"/>
      <c r="F57" s="529"/>
      <c r="G57" s="754">
        <v>0</v>
      </c>
      <c r="H57" s="754">
        <v>0</v>
      </c>
      <c r="I57" s="216">
        <v>0</v>
      </c>
      <c r="J57" s="110">
        <f t="shared" si="8"/>
        <v>0</v>
      </c>
      <c r="K57" s="112">
        <f t="shared" si="0"/>
        <v>0</v>
      </c>
      <c r="L57" s="37"/>
      <c r="M57" s="139">
        <v>0</v>
      </c>
      <c r="N57" s="142">
        <f t="shared" si="1"/>
        <v>0</v>
      </c>
      <c r="O57" s="139">
        <v>0</v>
      </c>
      <c r="P57" s="140">
        <f t="shared" si="2"/>
        <v>0</v>
      </c>
      <c r="Q57" s="150">
        <v>0</v>
      </c>
      <c r="R57" s="142">
        <f t="shared" si="3"/>
        <v>0</v>
      </c>
      <c r="S57" s="407">
        <f t="shared" si="5"/>
        <v>0</v>
      </c>
      <c r="U57" s="120">
        <v>53214040000000</v>
      </c>
      <c r="V57" s="117" t="s">
        <v>132</v>
      </c>
      <c r="W57" s="848">
        <v>0</v>
      </c>
      <c r="AG57" s="31"/>
    </row>
    <row r="58" spans="1:33" s="39" customFormat="1" ht="12.75" customHeight="1">
      <c r="A58" s="1027"/>
      <c r="B58" s="1007"/>
      <c r="C58" s="526"/>
      <c r="D58" s="527"/>
      <c r="E58" s="528"/>
      <c r="F58" s="529"/>
      <c r="G58" s="754">
        <v>0</v>
      </c>
      <c r="H58" s="754">
        <v>0</v>
      </c>
      <c r="I58" s="216">
        <v>0</v>
      </c>
      <c r="J58" s="110">
        <f t="shared" si="8"/>
        <v>0</v>
      </c>
      <c r="K58" s="112">
        <f t="shared" si="0"/>
        <v>0</v>
      </c>
      <c r="L58" s="37"/>
      <c r="M58" s="139">
        <v>0</v>
      </c>
      <c r="N58" s="142">
        <f t="shared" si="1"/>
        <v>0</v>
      </c>
      <c r="O58" s="139">
        <v>0</v>
      </c>
      <c r="P58" s="140">
        <f t="shared" si="2"/>
        <v>0</v>
      </c>
      <c r="Q58" s="150">
        <v>0</v>
      </c>
      <c r="R58" s="142">
        <f t="shared" si="3"/>
        <v>0</v>
      </c>
      <c r="S58" s="407">
        <f t="shared" si="5"/>
        <v>0</v>
      </c>
      <c r="U58" s="120">
        <v>55201010100004</v>
      </c>
      <c r="V58" s="117" t="s">
        <v>53</v>
      </c>
      <c r="W58" s="848">
        <v>0</v>
      </c>
      <c r="AG58" s="31"/>
    </row>
    <row r="59" spans="1:33" s="39" customFormat="1" ht="12.75" customHeight="1">
      <c r="A59" s="1027"/>
      <c r="B59" s="1007"/>
      <c r="C59" s="526"/>
      <c r="D59" s="527"/>
      <c r="E59" s="528"/>
      <c r="F59" s="529"/>
      <c r="G59" s="754">
        <v>0</v>
      </c>
      <c r="H59" s="754">
        <v>0</v>
      </c>
      <c r="I59" s="216">
        <v>0</v>
      </c>
      <c r="J59" s="110">
        <f t="shared" si="8"/>
        <v>0</v>
      </c>
      <c r="K59" s="112">
        <f t="shared" si="0"/>
        <v>0</v>
      </c>
      <c r="L59" s="37"/>
      <c r="M59" s="139">
        <v>0</v>
      </c>
      <c r="N59" s="142">
        <f t="shared" si="1"/>
        <v>0</v>
      </c>
      <c r="O59" s="139">
        <v>0</v>
      </c>
      <c r="P59" s="140">
        <f t="shared" si="2"/>
        <v>0</v>
      </c>
      <c r="Q59" s="150">
        <v>0</v>
      </c>
      <c r="R59" s="142">
        <f t="shared" si="3"/>
        <v>0</v>
      </c>
      <c r="S59" s="407">
        <f t="shared" si="5"/>
        <v>0</v>
      </c>
      <c r="U59" s="120">
        <v>55201010100005</v>
      </c>
      <c r="V59" s="117" t="s">
        <v>54</v>
      </c>
      <c r="W59" s="848">
        <v>0</v>
      </c>
      <c r="AG59" s="31"/>
    </row>
    <row r="60" spans="1:33" s="39" customFormat="1" ht="12.75" customHeight="1">
      <c r="A60" s="1027"/>
      <c r="B60" s="1007"/>
      <c r="C60" s="526"/>
      <c r="D60" s="527"/>
      <c r="E60" s="528"/>
      <c r="F60" s="529"/>
      <c r="G60" s="754">
        <v>0</v>
      </c>
      <c r="H60" s="754">
        <v>0</v>
      </c>
      <c r="I60" s="216">
        <v>0</v>
      </c>
      <c r="J60" s="110">
        <f t="shared" si="8"/>
        <v>0</v>
      </c>
      <c r="K60" s="112">
        <f t="shared" si="0"/>
        <v>0</v>
      </c>
      <c r="L60" s="37"/>
      <c r="M60" s="139">
        <v>0</v>
      </c>
      <c r="N60" s="142">
        <f t="shared" si="1"/>
        <v>0</v>
      </c>
      <c r="O60" s="139">
        <v>0</v>
      </c>
      <c r="P60" s="140">
        <f t="shared" si="2"/>
        <v>0</v>
      </c>
      <c r="Q60" s="150">
        <v>0</v>
      </c>
      <c r="R60" s="142">
        <f t="shared" si="3"/>
        <v>0</v>
      </c>
      <c r="S60" s="407">
        <f t="shared" si="5"/>
        <v>0</v>
      </c>
      <c r="U60" s="119"/>
      <c r="V60" s="116" t="s">
        <v>55</v>
      </c>
      <c r="W60" s="122">
        <f>SUM(W61:W69)</f>
        <v>9500495.337666666</v>
      </c>
      <c r="AG60" s="31"/>
    </row>
    <row r="61" spans="1:33" s="39" customFormat="1" ht="12.75" customHeight="1" thickBot="1">
      <c r="A61" s="1028"/>
      <c r="B61" s="1008"/>
      <c r="C61" s="184"/>
      <c r="D61" s="262"/>
      <c r="E61" s="220"/>
      <c r="F61" s="221"/>
      <c r="G61" s="264">
        <v>0</v>
      </c>
      <c r="H61" s="264">
        <v>0</v>
      </c>
      <c r="I61" s="222">
        <v>0</v>
      </c>
      <c r="J61" s="223">
        <f t="shared" si="8"/>
        <v>0</v>
      </c>
      <c r="K61" s="105">
        <f t="shared" si="0"/>
        <v>0</v>
      </c>
      <c r="L61" s="37"/>
      <c r="M61" s="144">
        <v>0</v>
      </c>
      <c r="N61" s="143">
        <f t="shared" si="1"/>
        <v>0</v>
      </c>
      <c r="O61" s="144">
        <v>0</v>
      </c>
      <c r="P61" s="153">
        <f t="shared" si="2"/>
        <v>0</v>
      </c>
      <c r="Q61" s="151">
        <v>0</v>
      </c>
      <c r="R61" s="143">
        <f t="shared" si="3"/>
        <v>0</v>
      </c>
      <c r="S61" s="408">
        <f t="shared" si="5"/>
        <v>0</v>
      </c>
      <c r="U61" s="120">
        <v>53207010000000</v>
      </c>
      <c r="V61" s="117" t="s">
        <v>56</v>
      </c>
      <c r="W61" s="848">
        <v>0</v>
      </c>
      <c r="AG61" s="31"/>
    </row>
    <row r="62" spans="1:33" s="39" customFormat="1" ht="12.75" customHeight="1" thickBo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210">
        <f>SUM(K15:K61)</f>
        <v>240379583.39200002</v>
      </c>
      <c r="L62" s="31"/>
      <c r="M62" s="211">
        <f>+N62/$K$62</f>
        <v>0.3172926030721224</v>
      </c>
      <c r="N62" s="212">
        <f>SUM(N15:N61)</f>
        <v>76270663.73984002</v>
      </c>
      <c r="O62" s="211">
        <f>+P62/$K$62</f>
        <v>0.08806360622548823</v>
      </c>
      <c r="P62" s="212">
        <f>SUM(P15:P61)</f>
        <v>21168692.97648</v>
      </c>
      <c r="Q62" s="211">
        <f>+R62/$K$62</f>
        <v>0.5946437907023893</v>
      </c>
      <c r="R62" s="212">
        <f>SUM(R15:R61)</f>
        <v>142940226.67567998</v>
      </c>
      <c r="S62" s="31"/>
      <c r="U62" s="120">
        <v>53207020000000</v>
      </c>
      <c r="V62" s="117" t="s">
        <v>57</v>
      </c>
      <c r="W62" s="848">
        <v>659297.5841666666</v>
      </c>
      <c r="AG62" s="31"/>
    </row>
    <row r="63" spans="1:33" s="39" customFormat="1" ht="12.7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77">
        <v>1</v>
      </c>
      <c r="L63" s="31"/>
      <c r="M63" s="31"/>
      <c r="N63" s="759"/>
      <c r="O63" s="31"/>
      <c r="P63" s="31"/>
      <c r="Q63" s="31"/>
      <c r="R63" s="31"/>
      <c r="S63" s="31"/>
      <c r="U63" s="120">
        <v>53208020000000</v>
      </c>
      <c r="V63" s="117" t="s">
        <v>58</v>
      </c>
      <c r="W63" s="848">
        <v>0</v>
      </c>
      <c r="AG63" s="31"/>
    </row>
    <row r="64" spans="1:33" s="39" customFormat="1" ht="12.75" customHeight="1" thickBo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U64" s="120">
        <v>53208990000000</v>
      </c>
      <c r="V64" s="117" t="s">
        <v>59</v>
      </c>
      <c r="W64" s="848">
        <v>5094775.057166667</v>
      </c>
      <c r="AG64" s="31"/>
    </row>
    <row r="65" spans="1:33" s="39" customFormat="1" ht="12.75" customHeight="1">
      <c r="A65" s="1012" t="s">
        <v>139</v>
      </c>
      <c r="B65" s="1015" t="s">
        <v>122</v>
      </c>
      <c r="C65" s="632"/>
      <c r="D65" s="457"/>
      <c r="E65" s="213"/>
      <c r="F65" s="104" t="s">
        <v>121</v>
      </c>
      <c r="G65" s="458">
        <v>0</v>
      </c>
      <c r="H65" s="458">
        <v>0</v>
      </c>
      <c r="I65" s="108">
        <v>0</v>
      </c>
      <c r="J65" s="466">
        <f>SUM(G65:I65)</f>
        <v>0</v>
      </c>
      <c r="K65" s="106">
        <f>+J65*(1+$K$11)</f>
        <v>0</v>
      </c>
      <c r="L65" s="37"/>
      <c r="M65" s="31"/>
      <c r="N65" s="31"/>
      <c r="O65" s="31"/>
      <c r="P65" s="31"/>
      <c r="Q65" s="31"/>
      <c r="R65" s="31"/>
      <c r="S65" s="31"/>
      <c r="U65" s="120">
        <v>53209010000000</v>
      </c>
      <c r="V65" s="117" t="s">
        <v>60</v>
      </c>
      <c r="W65" s="848">
        <v>0</v>
      </c>
      <c r="AG65" s="31"/>
    </row>
    <row r="66" spans="1:33" s="39" customFormat="1" ht="12.75" customHeight="1">
      <c r="A66" s="1013"/>
      <c r="B66" s="1016"/>
      <c r="C66" s="85"/>
      <c r="D66" s="454"/>
      <c r="E66" s="214"/>
      <c r="F66" s="215" t="s">
        <v>121</v>
      </c>
      <c r="G66" s="754">
        <v>0</v>
      </c>
      <c r="H66" s="754">
        <v>0</v>
      </c>
      <c r="I66" s="216">
        <v>0</v>
      </c>
      <c r="J66" s="217">
        <f>SUM(G66:I66)</f>
        <v>0</v>
      </c>
      <c r="K66" s="107">
        <f>+J66*(1+$K$11)</f>
        <v>0</v>
      </c>
      <c r="L66" s="37"/>
      <c r="M66" s="31"/>
      <c r="N66" s="31"/>
      <c r="O66" s="31"/>
      <c r="P66" s="31"/>
      <c r="Q66" s="31"/>
      <c r="R66" s="31"/>
      <c r="S66" s="31"/>
      <c r="U66" s="120">
        <v>53209040000000</v>
      </c>
      <c r="V66" s="117" t="s">
        <v>61</v>
      </c>
      <c r="W66" s="848">
        <v>0</v>
      </c>
      <c r="AG66" s="31"/>
    </row>
    <row r="67" spans="1:23" ht="12.75">
      <c r="A67" s="1013"/>
      <c r="B67" s="1016"/>
      <c r="C67" s="85"/>
      <c r="D67" s="454"/>
      <c r="E67" s="214"/>
      <c r="F67" s="215" t="s">
        <v>121</v>
      </c>
      <c r="G67" s="754">
        <v>0</v>
      </c>
      <c r="H67" s="754">
        <v>0</v>
      </c>
      <c r="I67" s="216">
        <v>0</v>
      </c>
      <c r="J67" s="217">
        <f>SUM(G67:I67)</f>
        <v>0</v>
      </c>
      <c r="K67" s="107">
        <f>+J67*(1+$K$11)</f>
        <v>0</v>
      </c>
      <c r="L67" s="37"/>
      <c r="U67" s="120">
        <v>53209050000000</v>
      </c>
      <c r="V67" s="117" t="s">
        <v>62</v>
      </c>
      <c r="W67" s="848">
        <v>2817971.336833333</v>
      </c>
    </row>
    <row r="68" spans="1:23" ht="12.75">
      <c r="A68" s="1013"/>
      <c r="B68" s="1016"/>
      <c r="C68" s="463"/>
      <c r="D68" s="459"/>
      <c r="E68" s="218"/>
      <c r="F68" s="219" t="s">
        <v>121</v>
      </c>
      <c r="G68" s="754">
        <v>0</v>
      </c>
      <c r="H68" s="754">
        <v>0</v>
      </c>
      <c r="I68" s="216">
        <v>0</v>
      </c>
      <c r="J68" s="217">
        <f>SUM(G68:I68)</f>
        <v>0</v>
      </c>
      <c r="K68" s="107">
        <f>+J68*(1+$K$11)</f>
        <v>0</v>
      </c>
      <c r="L68" s="37"/>
      <c r="U68" s="120">
        <v>53209990000000</v>
      </c>
      <c r="V68" s="117" t="s">
        <v>63</v>
      </c>
      <c r="W68" s="848">
        <v>0</v>
      </c>
    </row>
    <row r="69" spans="1:23" ht="13.5" thickBot="1">
      <c r="A69" s="1014"/>
      <c r="B69" s="1017"/>
      <c r="C69" s="184"/>
      <c r="D69" s="262"/>
      <c r="E69" s="220"/>
      <c r="F69" s="221" t="s">
        <v>121</v>
      </c>
      <c r="G69" s="264">
        <v>0</v>
      </c>
      <c r="H69" s="264">
        <v>0</v>
      </c>
      <c r="I69" s="222">
        <v>0</v>
      </c>
      <c r="J69" s="223">
        <f>SUM(G69:I69)</f>
        <v>0</v>
      </c>
      <c r="K69" s="105">
        <f>+J69*(1+$K$11)</f>
        <v>0</v>
      </c>
      <c r="L69" s="37"/>
      <c r="U69" s="120">
        <v>53210020100000</v>
      </c>
      <c r="V69" s="117" t="s">
        <v>64</v>
      </c>
      <c r="W69" s="848">
        <v>928451.3594999999</v>
      </c>
    </row>
    <row r="70" spans="3:23" ht="16.5" thickBot="1">
      <c r="C70" s="29"/>
      <c r="D70" s="29"/>
      <c r="E70" s="41"/>
      <c r="F70" s="41"/>
      <c r="G70" s="41"/>
      <c r="H70" s="41"/>
      <c r="I70" s="41"/>
      <c r="K70" s="210">
        <f>SUM(K65:K69)</f>
        <v>0</v>
      </c>
      <c r="L70" s="37"/>
      <c r="U70" s="119"/>
      <c r="V70" s="116" t="s">
        <v>65</v>
      </c>
      <c r="W70" s="122">
        <f>SUM(W71:W77)</f>
        <v>3728774.848166667</v>
      </c>
    </row>
    <row r="71" spans="11:23" ht="12.75">
      <c r="K71" s="77">
        <v>1</v>
      </c>
      <c r="L71" s="37"/>
      <c r="M71" s="42"/>
      <c r="O71" s="42"/>
      <c r="Q71" s="42"/>
      <c r="U71" s="120">
        <v>53206030000000</v>
      </c>
      <c r="V71" s="117" t="s">
        <v>99</v>
      </c>
      <c r="W71" s="848">
        <v>0</v>
      </c>
    </row>
    <row r="72" spans="8:23" ht="15.75" customHeight="1">
      <c r="H72" s="114"/>
      <c r="U72" s="120">
        <v>53206040000000</v>
      </c>
      <c r="V72" s="117" t="s">
        <v>100</v>
      </c>
      <c r="W72" s="848">
        <v>0</v>
      </c>
    </row>
    <row r="73" spans="21:23" ht="12.75">
      <c r="U73" s="120">
        <v>53206060000000</v>
      </c>
      <c r="V73" s="117" t="s">
        <v>101</v>
      </c>
      <c r="W73" s="848">
        <v>0</v>
      </c>
    </row>
    <row r="74" spans="21:23" ht="12.75">
      <c r="U74" s="120">
        <v>53206070000000</v>
      </c>
      <c r="V74" s="117" t="s">
        <v>102</v>
      </c>
      <c r="W74" s="848">
        <v>0</v>
      </c>
    </row>
    <row r="75" spans="21:23" ht="12.75">
      <c r="U75" s="120">
        <v>53206990000000</v>
      </c>
      <c r="V75" s="117" t="s">
        <v>103</v>
      </c>
      <c r="W75" s="848">
        <v>454779.88733333326</v>
      </c>
    </row>
    <row r="76" spans="21:23" ht="12.75">
      <c r="U76" s="120">
        <v>53208030000000</v>
      </c>
      <c r="V76" s="117" t="s">
        <v>104</v>
      </c>
      <c r="W76" s="848">
        <v>0</v>
      </c>
    </row>
    <row r="77" spans="21:23" ht="12.75">
      <c r="U77" s="120">
        <v>53212060000000</v>
      </c>
      <c r="V77" s="117" t="s">
        <v>97</v>
      </c>
      <c r="W77" s="848">
        <v>3273994.9608333334</v>
      </c>
    </row>
    <row r="78" spans="21:23" ht="12.75">
      <c r="U78" s="119"/>
      <c r="V78" s="116" t="s">
        <v>66</v>
      </c>
      <c r="W78" s="122">
        <f>SUM(W79:W79)</f>
        <v>6323699.806666667</v>
      </c>
    </row>
    <row r="79" spans="21:23" ht="12.75">
      <c r="U79" s="120">
        <v>53204999000000</v>
      </c>
      <c r="V79" s="117" t="s">
        <v>96</v>
      </c>
      <c r="W79" s="848">
        <v>6323699.806666667</v>
      </c>
    </row>
    <row r="80" spans="21:25" ht="15.75" customHeight="1">
      <c r="U80" s="123"/>
      <c r="V80" s="124" t="s">
        <v>142</v>
      </c>
      <c r="W80" s="125">
        <f>+W40+W15</f>
        <v>86389466.90133332</v>
      </c>
      <c r="X80" s="726" t="s">
        <v>512</v>
      </c>
      <c r="Y80" s="726"/>
    </row>
    <row r="81" spans="24:25" ht="12.75">
      <c r="X81" s="726"/>
      <c r="Y81" s="726" t="s">
        <v>507</v>
      </c>
    </row>
    <row r="94" ht="12.75">
      <c r="L94" s="127"/>
    </row>
    <row r="96" ht="12.75">
      <c r="K96" s="138"/>
    </row>
    <row r="98" ht="12.75">
      <c r="K98" s="128"/>
    </row>
  </sheetData>
  <sheetProtection password="8D26" sheet="1"/>
  <mergeCells count="43">
    <mergeCell ref="A65:A69"/>
    <mergeCell ref="B65:B69"/>
    <mergeCell ref="A9:H9"/>
    <mergeCell ref="U9:W10"/>
    <mergeCell ref="U13:U14"/>
    <mergeCell ref="V13:V14"/>
    <mergeCell ref="K13:K14"/>
    <mergeCell ref="M13:N13"/>
    <mergeCell ref="O13:P13"/>
    <mergeCell ref="A15:A61"/>
    <mergeCell ref="B15:B24"/>
    <mergeCell ref="B25:B34"/>
    <mergeCell ref="B35:B39"/>
    <mergeCell ref="B40:B61"/>
    <mergeCell ref="M12:R12"/>
    <mergeCell ref="AN9:AS10"/>
    <mergeCell ref="M9:S10"/>
    <mergeCell ref="AG9:AL10"/>
    <mergeCell ref="Z9:AE10"/>
    <mergeCell ref="W13:W14"/>
    <mergeCell ref="AI13:AJ13"/>
    <mergeCell ref="AK13:AL13"/>
    <mergeCell ref="AG13:AH13"/>
    <mergeCell ref="AN15:AO15"/>
    <mergeCell ref="AP14:AQ14"/>
    <mergeCell ref="AP15:AQ15"/>
    <mergeCell ref="Q13:R13"/>
    <mergeCell ref="A13:B14"/>
    <mergeCell ref="C13:C14"/>
    <mergeCell ref="D13:D14"/>
    <mergeCell ref="E13:E14"/>
    <mergeCell ref="F13:F14"/>
    <mergeCell ref="G13:J13"/>
    <mergeCell ref="AR14:AS14"/>
    <mergeCell ref="AR15:AS15"/>
    <mergeCell ref="S13:S14"/>
    <mergeCell ref="AD13:AE13"/>
    <mergeCell ref="AR13:AS13"/>
    <mergeCell ref="AP13:AQ13"/>
    <mergeCell ref="AN13:AO13"/>
    <mergeCell ref="AN14:AO14"/>
    <mergeCell ref="Z13:AA13"/>
    <mergeCell ref="AB13:AC13"/>
  </mergeCells>
  <conditionalFormatting sqref="S15:S61">
    <cfRule type="cellIs" priority="1" dxfId="1" operator="equal">
      <formula>1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IK16"/>
  <sheetViews>
    <sheetView showGridLines="0" zoomScale="62" zoomScaleNormal="62" zoomScalePageLayoutView="0" workbookViewId="0" topLeftCell="A1">
      <selection activeCell="F15" sqref="F15"/>
    </sheetView>
  </sheetViews>
  <sheetFormatPr defaultColWidth="11.421875" defaultRowHeight="12.75"/>
  <cols>
    <col min="1" max="1" width="43.57421875" style="4" customWidth="1"/>
    <col min="2" max="2" width="23.421875" style="4" bestFit="1" customWidth="1"/>
    <col min="3" max="3" width="14.140625" style="25" customWidth="1"/>
    <col min="4" max="4" width="14.140625" style="25" bestFit="1" customWidth="1"/>
    <col min="5" max="5" width="16.140625" style="25" customWidth="1"/>
    <col min="6" max="9" width="14.140625" style="25" customWidth="1"/>
    <col min="10" max="10" width="15.7109375" style="25" customWidth="1"/>
    <col min="11" max="14" width="14.140625" style="25" customWidth="1"/>
    <col min="15" max="15" width="15.28125" style="25" customWidth="1"/>
    <col min="16" max="17" width="14.140625" style="25" customWidth="1"/>
    <col min="18" max="18" width="13.28125" style="4" customWidth="1"/>
    <col min="19" max="19" width="14.140625" style="4" bestFit="1" customWidth="1"/>
    <col min="20" max="20" width="16.421875" style="4" customWidth="1"/>
    <col min="21" max="21" width="12.28125" style="4" customWidth="1"/>
    <col min="22" max="16384" width="11.421875" style="4" customWidth="1"/>
  </cols>
  <sheetData>
    <row r="1" spans="2:245" s="6" customFormat="1" ht="12.75">
      <c r="B1" s="5"/>
      <c r="C1" s="7"/>
      <c r="D1" s="7"/>
      <c r="E1" s="7"/>
      <c r="F1" s="7"/>
      <c r="G1" s="44" t="s">
        <v>207</v>
      </c>
      <c r="H1" s="7"/>
      <c r="I1" s="7"/>
      <c r="J1" s="7"/>
      <c r="K1" s="7"/>
      <c r="L1" s="7"/>
      <c r="M1" s="7"/>
      <c r="N1" s="7"/>
      <c r="O1" s="7"/>
      <c r="P1" s="7"/>
      <c r="Q1" s="7"/>
      <c r="IJ1" s="4"/>
      <c r="IK1" s="4"/>
    </row>
    <row r="2" spans="2:245" s="6" customFormat="1" ht="12.75">
      <c r="B2" s="8"/>
      <c r="C2" s="7"/>
      <c r="D2" s="7"/>
      <c r="E2" s="7"/>
      <c r="F2" s="7"/>
      <c r="G2" s="44" t="s">
        <v>199</v>
      </c>
      <c r="H2" s="7"/>
      <c r="I2" s="7"/>
      <c r="J2" s="7"/>
      <c r="K2" s="7"/>
      <c r="L2" s="7"/>
      <c r="M2" s="7"/>
      <c r="N2" s="7"/>
      <c r="O2" s="7"/>
      <c r="P2" s="7"/>
      <c r="Q2" s="7"/>
      <c r="IJ2" s="4"/>
      <c r="IK2" s="4"/>
    </row>
    <row r="3" spans="2:245" s="6" customFormat="1" ht="12.75">
      <c r="B3" s="4"/>
      <c r="IJ3" s="4"/>
      <c r="IK3" s="4"/>
    </row>
    <row r="4" spans="2:240" s="6" customFormat="1" ht="17.25" customHeight="1">
      <c r="B4" s="25"/>
      <c r="C4" s="98"/>
      <c r="F4" s="98" t="s">
        <v>0</v>
      </c>
      <c r="G4" s="1029" t="str">
        <f>+'B) Reajuste Tarifas y Ocupación'!F5</f>
        <v>(DEPTO./DELEG.)</v>
      </c>
      <c r="H4" s="1030"/>
      <c r="I4" s="98"/>
      <c r="J4" s="98"/>
      <c r="K4" s="98"/>
      <c r="L4" s="98"/>
      <c r="M4" s="98"/>
      <c r="N4" s="98"/>
      <c r="O4" s="98"/>
      <c r="P4" s="98"/>
      <c r="Q4" s="98"/>
      <c r="IA4" s="4"/>
      <c r="IB4" s="4"/>
      <c r="IC4" s="4"/>
      <c r="ID4" s="4"/>
      <c r="IE4" s="4"/>
      <c r="IF4" s="4"/>
    </row>
    <row r="5" spans="2:240" s="6" customFormat="1" ht="12.75">
      <c r="B5" s="25"/>
      <c r="C5" s="98"/>
      <c r="F5" s="98"/>
      <c r="G5" s="100"/>
      <c r="H5" s="100"/>
      <c r="I5" s="98"/>
      <c r="J5" s="98"/>
      <c r="K5" s="98"/>
      <c r="L5" s="98"/>
      <c r="M5" s="98"/>
      <c r="N5" s="98"/>
      <c r="O5" s="98"/>
      <c r="P5" s="98"/>
      <c r="Q5" s="98"/>
      <c r="IA5" s="4"/>
      <c r="IB5" s="4"/>
      <c r="IC5" s="4"/>
      <c r="ID5" s="4"/>
      <c r="IE5" s="4"/>
      <c r="IF5" s="4"/>
    </row>
    <row r="6" spans="1:240" s="6" customFormat="1" ht="15.75">
      <c r="A6" s="1038" t="s">
        <v>160</v>
      </c>
      <c r="B6" s="1038"/>
      <c r="C6" s="1038"/>
      <c r="D6" s="1038"/>
      <c r="E6" s="99"/>
      <c r="F6" s="98"/>
      <c r="G6" s="100"/>
      <c r="H6" s="100"/>
      <c r="I6" s="98"/>
      <c r="J6" s="98"/>
      <c r="K6" s="98"/>
      <c r="L6" s="98"/>
      <c r="M6" s="98"/>
      <c r="N6" s="98"/>
      <c r="O6" s="98"/>
      <c r="P6" s="98"/>
      <c r="Q6" s="98"/>
      <c r="IA6" s="4"/>
      <c r="IB6" s="4"/>
      <c r="IC6" s="4"/>
      <c r="ID6" s="4"/>
      <c r="IE6" s="4"/>
      <c r="IF6" s="4"/>
    </row>
    <row r="7" spans="2:240" s="6" customFormat="1" ht="13.5" thickBot="1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HX7" s="4"/>
      <c r="HY7" s="4"/>
      <c r="HZ7" s="4"/>
      <c r="IA7" s="4"/>
      <c r="IB7" s="4"/>
      <c r="IC7" s="4"/>
      <c r="ID7" s="4"/>
      <c r="IE7" s="4"/>
      <c r="IF7" s="4"/>
    </row>
    <row r="8" spans="1:22" ht="16.5" customHeight="1">
      <c r="A8" s="1039" t="s">
        <v>114</v>
      </c>
      <c r="B8" s="1041" t="s">
        <v>5</v>
      </c>
      <c r="C8" s="1037" t="s">
        <v>235</v>
      </c>
      <c r="D8" s="938"/>
      <c r="E8" s="938"/>
      <c r="F8" s="938"/>
      <c r="G8" s="939"/>
      <c r="H8" s="1031" t="s">
        <v>217</v>
      </c>
      <c r="I8" s="1032"/>
      <c r="J8" s="1032"/>
      <c r="K8" s="1032"/>
      <c r="L8" s="1033"/>
      <c r="M8" s="1034" t="s">
        <v>125</v>
      </c>
      <c r="N8" s="1035"/>
      <c r="O8" s="1035"/>
      <c r="P8" s="1035"/>
      <c r="Q8" s="1036"/>
      <c r="R8" s="1034" t="s">
        <v>126</v>
      </c>
      <c r="S8" s="1035"/>
      <c r="T8" s="1035"/>
      <c r="U8" s="1035"/>
      <c r="V8" s="1036"/>
    </row>
    <row r="9" spans="1:22" ht="71.25" customHeight="1" thickBot="1">
      <c r="A9" s="1040" t="e">
        <f>NA()</f>
        <v>#N/A</v>
      </c>
      <c r="B9" s="1042" t="e">
        <f>NA()</f>
        <v>#N/A</v>
      </c>
      <c r="C9" s="302" t="s">
        <v>86</v>
      </c>
      <c r="D9" s="296" t="s">
        <v>137</v>
      </c>
      <c r="E9" s="296" t="s">
        <v>138</v>
      </c>
      <c r="F9" s="296" t="s">
        <v>87</v>
      </c>
      <c r="G9" s="303" t="s">
        <v>88</v>
      </c>
      <c r="H9" s="308" t="s">
        <v>86</v>
      </c>
      <c r="I9" s="297" t="s">
        <v>137</v>
      </c>
      <c r="J9" s="297" t="s">
        <v>138</v>
      </c>
      <c r="K9" s="297" t="s">
        <v>87</v>
      </c>
      <c r="L9" s="298" t="s">
        <v>88</v>
      </c>
      <c r="M9" s="308" t="s">
        <v>86</v>
      </c>
      <c r="N9" s="297" t="s">
        <v>137</v>
      </c>
      <c r="O9" s="297" t="s">
        <v>138</v>
      </c>
      <c r="P9" s="297" t="s">
        <v>87</v>
      </c>
      <c r="Q9" s="298" t="s">
        <v>88</v>
      </c>
      <c r="R9" s="308" t="s">
        <v>86</v>
      </c>
      <c r="S9" s="297" t="s">
        <v>137</v>
      </c>
      <c r="T9" s="297" t="s">
        <v>138</v>
      </c>
      <c r="U9" s="297" t="s">
        <v>87</v>
      </c>
      <c r="V9" s="298" t="s">
        <v>88</v>
      </c>
    </row>
    <row r="10" spans="1:22" s="10" customFormat="1" ht="19.5" customHeight="1">
      <c r="A10" s="1043" t="str">
        <f>+'B) Reajuste Tarifas y Ocupación'!A12</f>
        <v>Jardín Infantil Tortuguita Marina</v>
      </c>
      <c r="B10" s="299" t="str">
        <f>+'B) Reajuste Tarifas y Ocupación'!B12</f>
        <v>Media jornada</v>
      </c>
      <c r="C10" s="411">
        <f>+'B) Reajuste Tarifas y Ocupación'!M12</f>
        <v>61300</v>
      </c>
      <c r="D10" s="287">
        <f>+'B) Reajuste Tarifas y Ocupación'!N12</f>
        <v>73500</v>
      </c>
      <c r="E10" s="287">
        <f>+'B) Reajuste Tarifas y Ocupación'!O12</f>
        <v>73500</v>
      </c>
      <c r="F10" s="287">
        <f>+'B) Reajuste Tarifas y Ocupación'!P12</f>
        <v>83700</v>
      </c>
      <c r="G10" s="412">
        <f>+'B) Reajuste Tarifas y Ocupación'!Q12</f>
        <v>106500</v>
      </c>
      <c r="H10" s="415">
        <f>+'B) Reajuste Tarifas y Ocupación'!C12</f>
        <v>57900</v>
      </c>
      <c r="I10" s="288">
        <f>+'B) Reajuste Tarifas y Ocupación'!D12</f>
        <v>69500</v>
      </c>
      <c r="J10" s="288">
        <f>+'B) Reajuste Tarifas y Ocupación'!E12</f>
        <v>69500</v>
      </c>
      <c r="K10" s="288">
        <f>+'B) Reajuste Tarifas y Ocupación'!F12</f>
        <v>79100</v>
      </c>
      <c r="L10" s="309">
        <f>+'B) Reajuste Tarifas y Ocupación'!G12</f>
        <v>100700</v>
      </c>
      <c r="M10" s="414">
        <f aca="true" t="shared" si="0" ref="M10:Q11">C10-H10</f>
        <v>3400</v>
      </c>
      <c r="N10" s="289">
        <f t="shared" si="0"/>
        <v>4000</v>
      </c>
      <c r="O10" s="289">
        <f t="shared" si="0"/>
        <v>4000</v>
      </c>
      <c r="P10" s="289">
        <f t="shared" si="0"/>
        <v>4600</v>
      </c>
      <c r="Q10" s="424">
        <f t="shared" si="0"/>
        <v>5800</v>
      </c>
      <c r="R10" s="425">
        <f>+'B) Reajuste Tarifas y Ocupación'!H12</f>
        <v>0.057</v>
      </c>
      <c r="S10" s="290">
        <f>+'B) Reajuste Tarifas y Ocupación'!I12</f>
        <v>0.057</v>
      </c>
      <c r="T10" s="290">
        <f>+'B) Reajuste Tarifas y Ocupación'!J12</f>
        <v>0.057</v>
      </c>
      <c r="U10" s="290">
        <f>+'B) Reajuste Tarifas y Ocupación'!K12</f>
        <v>0.057</v>
      </c>
      <c r="V10" s="291">
        <f>+'B) Reajuste Tarifas y Ocupación'!L12</f>
        <v>0.057</v>
      </c>
    </row>
    <row r="11" spans="1:22" s="10" customFormat="1" ht="19.5" customHeight="1" thickBot="1">
      <c r="A11" s="1044"/>
      <c r="B11" s="300" t="str">
        <f>+'B) Reajuste Tarifas y Ocupación'!B13</f>
        <v>Doble Jornada </v>
      </c>
      <c r="C11" s="305">
        <f>+'B) Reajuste Tarifas y Ocupación'!M13</f>
        <v>78000</v>
      </c>
      <c r="D11" s="292">
        <f>+'B) Reajuste Tarifas y Ocupación'!N13</f>
        <v>93500</v>
      </c>
      <c r="E11" s="292">
        <f>+'B) Reajuste Tarifas y Ocupación'!O13</f>
        <v>93500</v>
      </c>
      <c r="F11" s="292">
        <f>+'B) Reajuste Tarifas y Ocupación'!P13</f>
        <v>117000</v>
      </c>
      <c r="G11" s="413">
        <f>+'B) Reajuste Tarifas y Ocupación'!Q13</f>
        <v>155900</v>
      </c>
      <c r="H11" s="310">
        <f>+'B) Reajuste Tarifas y Ocupación'!C13</f>
        <v>73700</v>
      </c>
      <c r="I11" s="416">
        <f>+'B) Reajuste Tarifas y Ocupación'!D13</f>
        <v>88500</v>
      </c>
      <c r="J11" s="416">
        <f>+'B) Reajuste Tarifas y Ocupación'!E13</f>
        <v>88500</v>
      </c>
      <c r="K11" s="416">
        <f>+'B) Reajuste Tarifas y Ocupación'!F13</f>
        <v>110600</v>
      </c>
      <c r="L11" s="417">
        <f>+'B) Reajuste Tarifas y Ocupación'!G13</f>
        <v>147400</v>
      </c>
      <c r="M11" s="431">
        <f t="shared" si="0"/>
        <v>4300</v>
      </c>
      <c r="N11" s="432">
        <f t="shared" si="0"/>
        <v>5000</v>
      </c>
      <c r="O11" s="432">
        <f t="shared" si="0"/>
        <v>5000</v>
      </c>
      <c r="P11" s="432">
        <f t="shared" si="0"/>
        <v>6400</v>
      </c>
      <c r="Q11" s="433">
        <f t="shared" si="0"/>
        <v>8500</v>
      </c>
      <c r="R11" s="434">
        <f>+'B) Reajuste Tarifas y Ocupación'!H13</f>
        <v>0.057</v>
      </c>
      <c r="S11" s="435">
        <f>+'B) Reajuste Tarifas y Ocupación'!I13</f>
        <v>0.057</v>
      </c>
      <c r="T11" s="435">
        <f>+'B) Reajuste Tarifas y Ocupación'!J13</f>
        <v>0.057</v>
      </c>
      <c r="U11" s="435">
        <f>+'B) Reajuste Tarifas y Ocupación'!K13</f>
        <v>0.057</v>
      </c>
      <c r="V11" s="436">
        <f>+'B) Reajuste Tarifas y Ocupación'!L13</f>
        <v>0.057</v>
      </c>
    </row>
    <row r="12" spans="1:22" s="10" customFormat="1" ht="19.5" customHeight="1">
      <c r="A12" s="1043" t="str">
        <f>+'B) Reajuste Tarifas y Ocupación'!A14</f>
        <v>Jardín Infantil Burbujitas de Mar</v>
      </c>
      <c r="B12" s="299" t="str">
        <f>+'B) Reajuste Tarifas y Ocupación'!B14</f>
        <v>Media jornada</v>
      </c>
      <c r="C12" s="409">
        <f>+'B) Reajuste Tarifas y Ocupación'!M14</f>
        <v>86300</v>
      </c>
      <c r="D12" s="410">
        <f>+'B) Reajuste Tarifas y Ocupación'!N14</f>
        <v>103600</v>
      </c>
      <c r="E12" s="410">
        <f>+'B) Reajuste Tarifas y Ocupación'!O14</f>
        <v>103600</v>
      </c>
      <c r="F12" s="410">
        <f>+'B) Reajuste Tarifas y Ocupación'!P14</f>
        <v>107900</v>
      </c>
      <c r="G12" s="426">
        <f>+'B) Reajuste Tarifas y Ocupación'!Q14</f>
        <v>129400</v>
      </c>
      <c r="H12" s="427">
        <f>+'B) Reajuste Tarifas y Ocupación'!C14</f>
        <v>81600</v>
      </c>
      <c r="I12" s="428">
        <f>+'B) Reajuste Tarifas y Ocupación'!D14</f>
        <v>98000</v>
      </c>
      <c r="J12" s="428">
        <f>+'B) Reajuste Tarifas y Ocupación'!E14</f>
        <v>98000</v>
      </c>
      <c r="K12" s="428">
        <f>+'B) Reajuste Tarifas y Ocupación'!F14</f>
        <v>102000</v>
      </c>
      <c r="L12" s="430">
        <f>+'B) Reajuste Tarifas y Ocupación'!G14</f>
        <v>122400</v>
      </c>
      <c r="M12" s="423">
        <f aca="true" t="shared" si="1" ref="M12:Q14">C12-H12</f>
        <v>4700</v>
      </c>
      <c r="N12" s="289">
        <f t="shared" si="1"/>
        <v>5600</v>
      </c>
      <c r="O12" s="289">
        <f t="shared" si="1"/>
        <v>5600</v>
      </c>
      <c r="P12" s="289">
        <f t="shared" si="1"/>
        <v>5900</v>
      </c>
      <c r="Q12" s="424">
        <f t="shared" si="1"/>
        <v>7000</v>
      </c>
      <c r="R12" s="425">
        <f>+'B) Reajuste Tarifas y Ocupación'!H14</f>
        <v>0.057</v>
      </c>
      <c r="S12" s="290">
        <f>+'B) Reajuste Tarifas y Ocupación'!I14</f>
        <v>0.057</v>
      </c>
      <c r="T12" s="290">
        <f>+'B) Reajuste Tarifas y Ocupación'!J14</f>
        <v>0.057</v>
      </c>
      <c r="U12" s="290">
        <f>+'B) Reajuste Tarifas y Ocupación'!K14</f>
        <v>0.057</v>
      </c>
      <c r="V12" s="291">
        <f>+'B) Reajuste Tarifas y Ocupación'!L14</f>
        <v>0.057</v>
      </c>
    </row>
    <row r="13" spans="1:22" s="10" customFormat="1" ht="19.5" customHeight="1" thickBot="1">
      <c r="A13" s="1044"/>
      <c r="B13" s="300" t="str">
        <f>+'B) Reajuste Tarifas y Ocupación'!B15</f>
        <v>Jornada  Completa</v>
      </c>
      <c r="C13" s="318">
        <f>+'B) Reajuste Tarifas y Ocupación'!M15</f>
        <v>136600</v>
      </c>
      <c r="D13" s="319">
        <f>+'B) Reajuste Tarifas y Ocupación'!N15</f>
        <v>163900</v>
      </c>
      <c r="E13" s="319">
        <f>+'B) Reajuste Tarifas y Ocupación'!O15</f>
        <v>163900</v>
      </c>
      <c r="F13" s="319">
        <f>+'B) Reajuste Tarifas y Ocupación'!P15</f>
        <v>170800</v>
      </c>
      <c r="G13" s="320">
        <f>+'B) Reajuste Tarifas y Ocupación'!Q15</f>
        <v>204900</v>
      </c>
      <c r="H13" s="437">
        <f>+'B) Reajuste Tarifas y Ocupación'!C15</f>
        <v>129200</v>
      </c>
      <c r="I13" s="438">
        <f>+'B) Reajuste Tarifas y Ocupación'!D15</f>
        <v>155100</v>
      </c>
      <c r="J13" s="438">
        <f>+'B) Reajuste Tarifas y Ocupación'!E15</f>
        <v>155100</v>
      </c>
      <c r="K13" s="438">
        <f>+'B) Reajuste Tarifas y Ocupación'!F15</f>
        <v>161500</v>
      </c>
      <c r="L13" s="439">
        <f>+'B) Reajuste Tarifas y Ocupación'!G15</f>
        <v>193800</v>
      </c>
      <c r="M13" s="440">
        <f t="shared" si="1"/>
        <v>7400</v>
      </c>
      <c r="N13" s="432">
        <f t="shared" si="1"/>
        <v>8800</v>
      </c>
      <c r="O13" s="432">
        <f t="shared" si="1"/>
        <v>8800</v>
      </c>
      <c r="P13" s="432">
        <f t="shared" si="1"/>
        <v>9300</v>
      </c>
      <c r="Q13" s="433">
        <f t="shared" si="1"/>
        <v>11100</v>
      </c>
      <c r="R13" s="434">
        <f>+'B) Reajuste Tarifas y Ocupación'!H15</f>
        <v>0.057</v>
      </c>
      <c r="S13" s="435">
        <f>+'B) Reajuste Tarifas y Ocupación'!I15</f>
        <v>0.057</v>
      </c>
      <c r="T13" s="435">
        <f>+'B) Reajuste Tarifas y Ocupación'!J15</f>
        <v>0.057</v>
      </c>
      <c r="U13" s="435">
        <f>+'B) Reajuste Tarifas y Ocupación'!K15</f>
        <v>0.057</v>
      </c>
      <c r="V13" s="436">
        <f>+'B) Reajuste Tarifas y Ocupación'!L15</f>
        <v>0.057</v>
      </c>
    </row>
    <row r="14" spans="1:22" s="10" customFormat="1" ht="19.5" customHeight="1">
      <c r="A14" s="1043" t="str">
        <f>+'B) Reajuste Tarifas y Ocupación'!A19</f>
        <v>Sala Cuna Burbujitas de Mar</v>
      </c>
      <c r="B14" s="299" t="str">
        <f>+'B) Reajuste Tarifas y Ocupación'!B19</f>
        <v>Jornada Completa Diurna</v>
      </c>
      <c r="C14" s="411">
        <f>+'B) Reajuste Tarifas y Ocupación'!M19</f>
        <v>327700</v>
      </c>
      <c r="D14" s="287">
        <f>+'B) Reajuste Tarifas y Ocupación'!N19</f>
        <v>393300</v>
      </c>
      <c r="E14" s="287">
        <f>+'B) Reajuste Tarifas y Ocupación'!O19</f>
        <v>393300</v>
      </c>
      <c r="F14" s="287">
        <f>+'B) Reajuste Tarifas y Ocupación'!P19</f>
        <v>409600</v>
      </c>
      <c r="G14" s="304">
        <f>+'B) Reajuste Tarifas y Ocupación'!Q19</f>
        <v>491600</v>
      </c>
      <c r="H14" s="415">
        <f>+'B) Reajuste Tarifas y Ocupación'!C19</f>
        <v>310000</v>
      </c>
      <c r="I14" s="288">
        <f>+'B) Reajuste Tarifas y Ocupación'!D19</f>
        <v>372000</v>
      </c>
      <c r="J14" s="288">
        <f>+'B) Reajuste Tarifas y Ocupación'!E19</f>
        <v>372000</v>
      </c>
      <c r="K14" s="288">
        <f>+'B) Reajuste Tarifas y Ocupación'!F19</f>
        <v>387500</v>
      </c>
      <c r="L14" s="418">
        <f>+'B) Reajuste Tarifas y Ocupación'!G19</f>
        <v>465000</v>
      </c>
      <c r="M14" s="423">
        <f t="shared" si="1"/>
        <v>17700</v>
      </c>
      <c r="N14" s="289">
        <f t="shared" si="1"/>
        <v>21300</v>
      </c>
      <c r="O14" s="289">
        <f t="shared" si="1"/>
        <v>21300</v>
      </c>
      <c r="P14" s="289">
        <f t="shared" si="1"/>
        <v>22100</v>
      </c>
      <c r="Q14" s="311">
        <f t="shared" si="1"/>
        <v>26600</v>
      </c>
      <c r="R14" s="420">
        <f>+'B) Reajuste Tarifas y Ocupación'!H19</f>
        <v>0.057</v>
      </c>
      <c r="S14" s="290">
        <f>+'B) Reajuste Tarifas y Ocupación'!I19</f>
        <v>0.057</v>
      </c>
      <c r="T14" s="290">
        <f>+'B) Reajuste Tarifas y Ocupación'!J19</f>
        <v>0.057</v>
      </c>
      <c r="U14" s="290">
        <f>+'B) Reajuste Tarifas y Ocupación'!K19</f>
        <v>0.057</v>
      </c>
      <c r="V14" s="291">
        <f>+'B) Reajuste Tarifas y Ocupación'!L19</f>
        <v>0.057</v>
      </c>
    </row>
    <row r="15" spans="1:22" s="10" customFormat="1" ht="19.5" customHeight="1">
      <c r="A15" s="1045"/>
      <c r="B15" s="301" t="str">
        <f>+'B) Reajuste Tarifas y Ocupación'!B20</f>
        <v>Nocturna</v>
      </c>
      <c r="C15" s="441">
        <f>+'B) Reajuste Tarifas y Ocupación'!M20</f>
        <v>264300</v>
      </c>
      <c r="D15" s="443"/>
      <c r="E15" s="443"/>
      <c r="F15" s="443"/>
      <c r="G15" s="307"/>
      <c r="H15" s="429">
        <f>+'B) Reajuste Tarifas y Ocupación'!C20</f>
        <v>250000</v>
      </c>
      <c r="I15" s="444"/>
      <c r="J15" s="444"/>
      <c r="K15" s="444"/>
      <c r="L15" s="445"/>
      <c r="M15" s="313">
        <f>C15-H15</f>
        <v>14300</v>
      </c>
      <c r="N15" s="446"/>
      <c r="O15" s="446"/>
      <c r="P15" s="446"/>
      <c r="Q15" s="447"/>
      <c r="R15" s="442">
        <f>+'B) Reajuste Tarifas y Ocupación'!H20</f>
        <v>0.057</v>
      </c>
      <c r="S15" s="448"/>
      <c r="T15" s="448"/>
      <c r="U15" s="448"/>
      <c r="V15" s="449"/>
    </row>
    <row r="16" spans="1:22" s="10" customFormat="1" ht="19.5" customHeight="1" thickBot="1">
      <c r="A16" s="1044"/>
      <c r="B16" s="300" t="str">
        <f>+'B) Reajuste Tarifas y Ocupación'!B21</f>
        <v>Media Jornada</v>
      </c>
      <c r="C16" s="305">
        <f>+'B) Reajuste Tarifas y Ocupación'!M21</f>
        <v>196700</v>
      </c>
      <c r="D16" s="292">
        <f>+'B) Reajuste Tarifas y Ocupación'!N21</f>
        <v>236000</v>
      </c>
      <c r="E16" s="292">
        <f>+'B) Reajuste Tarifas y Ocupación'!O21</f>
        <v>236000</v>
      </c>
      <c r="F16" s="292">
        <f>+'B) Reajuste Tarifas y Ocupación'!P21</f>
        <v>295000</v>
      </c>
      <c r="G16" s="306">
        <f>+'B) Reajuste Tarifas y Ocupación'!Q21</f>
        <v>393300</v>
      </c>
      <c r="H16" s="310">
        <f>+'B) Reajuste Tarifas y Ocupación'!C21</f>
        <v>186000</v>
      </c>
      <c r="I16" s="416">
        <f>+'B) Reajuste Tarifas y Ocupación'!D21</f>
        <v>223200</v>
      </c>
      <c r="J16" s="416">
        <f>+'B) Reajuste Tarifas y Ocupación'!E21</f>
        <v>223200</v>
      </c>
      <c r="K16" s="416">
        <f>+'B) Reajuste Tarifas y Ocupación'!F21</f>
        <v>279000</v>
      </c>
      <c r="L16" s="419">
        <f>+'B) Reajuste Tarifas y Ocupación'!G21</f>
        <v>372000</v>
      </c>
      <c r="M16" s="312">
        <f>C16-H16</f>
        <v>10700</v>
      </c>
      <c r="N16" s="293">
        <f>D16-I16</f>
        <v>12800</v>
      </c>
      <c r="O16" s="293">
        <f>E16-J16</f>
        <v>12800</v>
      </c>
      <c r="P16" s="293">
        <f>F16-K16</f>
        <v>16000</v>
      </c>
      <c r="Q16" s="314">
        <f>G16-L16</f>
        <v>21300</v>
      </c>
      <c r="R16" s="421">
        <f>+'B) Reajuste Tarifas y Ocupación'!H21</f>
        <v>0.057</v>
      </c>
      <c r="S16" s="294">
        <f>+'B) Reajuste Tarifas y Ocupación'!I21</f>
        <v>0.057</v>
      </c>
      <c r="T16" s="294">
        <f>+'B) Reajuste Tarifas y Ocupación'!J21</f>
        <v>0.057</v>
      </c>
      <c r="U16" s="294">
        <f>+'B) Reajuste Tarifas y Ocupación'!K21</f>
        <v>0.057</v>
      </c>
      <c r="V16" s="295">
        <f>+'B) Reajuste Tarifas y Ocupación'!L21</f>
        <v>0.057</v>
      </c>
    </row>
  </sheetData>
  <sheetProtection sheet="1" objects="1" scenarios="1"/>
  <mergeCells count="11">
    <mergeCell ref="A12:A13"/>
    <mergeCell ref="A10:A11"/>
    <mergeCell ref="R8:V8"/>
    <mergeCell ref="A14:A16"/>
    <mergeCell ref="G4:H4"/>
    <mergeCell ref="H8:L8"/>
    <mergeCell ref="M8:Q8"/>
    <mergeCell ref="C8:G8"/>
    <mergeCell ref="A6:D6"/>
    <mergeCell ref="A8:A9"/>
    <mergeCell ref="B8:B9"/>
  </mergeCells>
  <conditionalFormatting sqref="M10:Q16">
    <cfRule type="cellIs" priority="1" dxfId="0" operator="lessThan">
      <formula>0</formula>
    </cfRule>
  </conditionalFormatting>
  <printOptions/>
  <pageMargins left="0.75" right="0.75" top="1" bottom="0.6458333333333334" header="0" footer="0.5118055555555555"/>
  <pageSetup fitToHeight="14" fitToWidth="1" horizontalDpi="300" verticalDpi="300" orientation="landscape" r:id="rId1"/>
  <headerFooter alignWithMargins="0">
    <oddHeader>&amp;LSEPT - 2004&amp;CDIRECTIVA D.B.S.A.ORDINARIA&amp;R02-BS0307/02Pag &amp;P de &amp;N/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B1:IV66"/>
  <sheetViews>
    <sheetView showGridLines="0" zoomScale="80" zoomScaleNormal="80" zoomScalePageLayoutView="0" workbookViewId="0" topLeftCell="B11">
      <selection activeCell="C11" sqref="C11:G26"/>
    </sheetView>
  </sheetViews>
  <sheetFormatPr defaultColWidth="11.421875" defaultRowHeight="12.75"/>
  <cols>
    <col min="1" max="1" width="7.140625" style="31" customWidth="1"/>
    <col min="2" max="2" width="39.8515625" style="31" customWidth="1"/>
    <col min="3" max="3" width="28.00390625" style="31" customWidth="1"/>
    <col min="4" max="4" width="24.140625" style="31" customWidth="1"/>
    <col min="5" max="5" width="27.8515625" style="31" customWidth="1"/>
    <col min="6" max="6" width="28.140625" style="31" bestFit="1" customWidth="1"/>
    <col min="7" max="8" width="14.8515625" style="31" customWidth="1"/>
    <col min="9" max="9" width="15.00390625" style="31" customWidth="1"/>
    <col min="10" max="10" width="15.140625" style="31" customWidth="1"/>
    <col min="11" max="11" width="19.140625" style="31" customWidth="1"/>
    <col min="12" max="12" width="24.28125" style="31" customWidth="1"/>
    <col min="13" max="13" width="16.140625" style="31" customWidth="1"/>
    <col min="14" max="14" width="17.140625" style="31" customWidth="1"/>
    <col min="15" max="15" width="14.8515625" style="31" customWidth="1"/>
    <col min="16" max="16" width="17.7109375" style="31" customWidth="1"/>
    <col min="17" max="17" width="17.140625" style="31" customWidth="1"/>
    <col min="18" max="18" width="18.140625" style="43" customWidth="1"/>
    <col min="19" max="19" width="16.28125" style="31" customWidth="1"/>
    <col min="20" max="20" width="15.8515625" style="31" customWidth="1"/>
    <col min="21" max="21" width="14.8515625" style="31" customWidth="1"/>
    <col min="22" max="22" width="15.8515625" style="31" customWidth="1"/>
    <col min="23" max="23" width="14.28125" style="31" customWidth="1"/>
    <col min="24" max="24" width="14.8515625" style="31" customWidth="1"/>
    <col min="25" max="25" width="14.140625" style="31" customWidth="1"/>
    <col min="26" max="26" width="16.8515625" style="31" customWidth="1"/>
    <col min="27" max="27" width="17.57421875" style="31" customWidth="1"/>
    <col min="28" max="28" width="15.28125" style="31" customWidth="1"/>
    <col min="29" max="29" width="19.7109375" style="31" customWidth="1"/>
    <col min="30" max="30" width="17.421875" style="31" customWidth="1"/>
    <col min="31" max="31" width="12.00390625" style="31" customWidth="1"/>
    <col min="32" max="16384" width="11.421875" style="31" customWidth="1"/>
  </cols>
  <sheetData>
    <row r="1" spans="3:248" s="6" customFormat="1" ht="12.75">
      <c r="C1" s="7"/>
      <c r="D1" s="7"/>
      <c r="E1" s="44" t="s">
        <v>208</v>
      </c>
      <c r="F1" s="44"/>
      <c r="G1" s="44"/>
      <c r="H1" s="44"/>
      <c r="I1" s="44"/>
      <c r="J1" s="44"/>
      <c r="K1" s="7"/>
      <c r="IM1" s="4"/>
      <c r="IN1" s="4"/>
    </row>
    <row r="2" spans="5:248" s="6" customFormat="1" ht="12.75">
      <c r="E2" s="44" t="s">
        <v>200</v>
      </c>
      <c r="F2" s="44"/>
      <c r="G2" s="44"/>
      <c r="H2" s="44"/>
      <c r="I2" s="44"/>
      <c r="J2" s="44"/>
      <c r="IM2" s="4"/>
      <c r="IN2" s="4"/>
    </row>
    <row r="3" spans="2:243" s="6" customFormat="1" ht="12.75">
      <c r="B3" s="2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ID3" s="4"/>
      <c r="IE3" s="4"/>
      <c r="IF3" s="4"/>
      <c r="IG3" s="4"/>
      <c r="IH3" s="4"/>
      <c r="II3" s="4"/>
    </row>
    <row r="4" spans="2:243" s="6" customFormat="1" ht="18.75" customHeight="1">
      <c r="B4" s="26"/>
      <c r="D4" s="97" t="s">
        <v>0</v>
      </c>
      <c r="E4" s="849" t="str">
        <f>+'B) Reajuste Tarifas y Ocupación'!F5</f>
        <v>(DEPTO./DELEG.)</v>
      </c>
      <c r="F4" s="69"/>
      <c r="G4" s="70"/>
      <c r="H4" s="70"/>
      <c r="I4" s="70"/>
      <c r="J4" s="70"/>
      <c r="N4" s="3"/>
      <c r="ID4" s="4"/>
      <c r="IE4" s="4"/>
      <c r="IF4" s="4"/>
      <c r="IG4" s="4"/>
      <c r="IH4" s="4"/>
      <c r="II4" s="4"/>
    </row>
    <row r="5" spans="2:243" s="6" customFormat="1" ht="12.75">
      <c r="B5" s="26"/>
      <c r="D5" s="98"/>
      <c r="E5" s="100"/>
      <c r="F5" s="100"/>
      <c r="G5" s="100"/>
      <c r="H5" s="100"/>
      <c r="I5" s="100"/>
      <c r="J5" s="100"/>
      <c r="N5" s="3"/>
      <c r="ID5" s="4"/>
      <c r="IE5" s="4"/>
      <c r="IF5" s="4"/>
      <c r="IG5" s="4"/>
      <c r="IH5" s="4"/>
      <c r="II5" s="4"/>
    </row>
    <row r="6" spans="2:243" s="6" customFormat="1" ht="12.75">
      <c r="B6" s="26"/>
      <c r="D6" s="98"/>
      <c r="E6" s="100"/>
      <c r="F6" s="100"/>
      <c r="G6" s="100"/>
      <c r="H6" s="100"/>
      <c r="I6" s="100"/>
      <c r="J6" s="100"/>
      <c r="N6" s="3"/>
      <c r="ID6" s="4"/>
      <c r="IE6" s="4"/>
      <c r="IF6" s="4"/>
      <c r="IG6" s="4"/>
      <c r="IH6" s="4"/>
      <c r="II6" s="4"/>
    </row>
    <row r="7" spans="2:243" s="17" customFormat="1" ht="15.75">
      <c r="B7" s="917" t="s">
        <v>161</v>
      </c>
      <c r="C7" s="917"/>
      <c r="D7" s="917"/>
      <c r="E7" s="917"/>
      <c r="F7" s="850"/>
      <c r="G7" s="71" t="s">
        <v>4</v>
      </c>
      <c r="H7" s="72">
        <v>0.072</v>
      </c>
      <c r="I7" s="850"/>
      <c r="J7" s="850"/>
      <c r="N7" s="28"/>
      <c r="ID7" s="10"/>
      <c r="IE7" s="10"/>
      <c r="IF7" s="10"/>
      <c r="IG7" s="10"/>
      <c r="IH7" s="10"/>
      <c r="II7" s="10"/>
    </row>
    <row r="8" ht="13.5" thickBot="1"/>
    <row r="9" spans="2:20" ht="15" customHeight="1">
      <c r="B9" s="974" t="s">
        <v>114</v>
      </c>
      <c r="C9" s="1064" t="s">
        <v>73</v>
      </c>
      <c r="D9" s="995" t="s">
        <v>74</v>
      </c>
      <c r="E9" s="997" t="s">
        <v>3</v>
      </c>
      <c r="F9" s="1062" t="s">
        <v>81</v>
      </c>
      <c r="G9" s="1107" t="s">
        <v>264</v>
      </c>
      <c r="H9" s="1108" t="s">
        <v>265</v>
      </c>
      <c r="I9" s="1109" t="s">
        <v>116</v>
      </c>
      <c r="J9" s="1110" t="s">
        <v>117</v>
      </c>
      <c r="K9" s="1111" t="s">
        <v>238</v>
      </c>
      <c r="L9" s="1023" t="s">
        <v>115</v>
      </c>
      <c r="O9" s="30"/>
      <c r="P9" s="30"/>
      <c r="Q9" s="30"/>
      <c r="R9" s="30"/>
      <c r="S9" s="30"/>
      <c r="T9" s="30"/>
    </row>
    <row r="10" spans="2:24" ht="50.25" customHeight="1" thickBot="1">
      <c r="B10" s="975"/>
      <c r="C10" s="1065"/>
      <c r="D10" s="996"/>
      <c r="E10" s="998"/>
      <c r="F10" s="1063"/>
      <c r="G10" s="1112"/>
      <c r="H10" s="1113"/>
      <c r="I10" s="1114"/>
      <c r="J10" s="1115"/>
      <c r="K10" s="1116"/>
      <c r="L10" s="1048"/>
      <c r="M10" s="32"/>
      <c r="N10" s="60"/>
      <c r="O10" s="60"/>
      <c r="P10" s="23"/>
      <c r="Q10" s="23"/>
      <c r="R10" s="23"/>
      <c r="S10" s="32"/>
      <c r="T10" s="1058"/>
      <c r="U10" s="1058"/>
      <c r="V10" s="1058"/>
      <c r="W10" s="1058"/>
      <c r="X10" s="32"/>
    </row>
    <row r="11" spans="2:24" ht="12.75">
      <c r="B11" s="1059" t="str">
        <f>+'B) Reajuste Tarifas y Ocupación'!A12</f>
        <v>Jardín Infantil Tortuguita Marina</v>
      </c>
      <c r="C11" s="181" t="s">
        <v>436</v>
      </c>
      <c r="D11" s="459" t="s">
        <v>289</v>
      </c>
      <c r="E11" s="459" t="s">
        <v>414</v>
      </c>
      <c r="F11" s="640" t="s">
        <v>500</v>
      </c>
      <c r="G11" s="636">
        <v>5829060</v>
      </c>
      <c r="H11" s="466">
        <f>+G11*(1+$H$7)</f>
        <v>6248752.32</v>
      </c>
      <c r="I11" s="450">
        <v>270522</v>
      </c>
      <c r="J11" s="458">
        <f>66655*2</f>
        <v>133310</v>
      </c>
      <c r="K11" s="177">
        <f>SUM(H11:J11)</f>
        <v>6652584.32</v>
      </c>
      <c r="L11" s="1061">
        <f>SUM(K11:K18)</f>
        <v>25397037.792000003</v>
      </c>
      <c r="M11" s="721" t="s">
        <v>506</v>
      </c>
      <c r="N11" s="60"/>
      <c r="O11" s="60"/>
      <c r="P11" s="23"/>
      <c r="Q11" s="23"/>
      <c r="R11" s="23"/>
      <c r="S11" s="32"/>
      <c r="T11" s="854"/>
      <c r="U11" s="854"/>
      <c r="V11" s="854"/>
      <c r="W11" s="854"/>
      <c r="X11" s="32"/>
    </row>
    <row r="12" spans="2:24" ht="12.75">
      <c r="B12" s="1060"/>
      <c r="C12" s="723" t="s">
        <v>415</v>
      </c>
      <c r="D12" s="723" t="s">
        <v>416</v>
      </c>
      <c r="E12" s="723" t="s">
        <v>271</v>
      </c>
      <c r="F12" s="750" t="s">
        <v>500</v>
      </c>
      <c r="G12" s="725">
        <v>5829060</v>
      </c>
      <c r="H12" s="217">
        <f aca="true" t="shared" si="0" ref="H12:H26">+G12*(1+$H$7)</f>
        <v>6248752.32</v>
      </c>
      <c r="I12" s="451">
        <v>0</v>
      </c>
      <c r="J12" s="754">
        <v>133310</v>
      </c>
      <c r="K12" s="178">
        <f>SUM(H12:J12)</f>
        <v>6382062.32</v>
      </c>
      <c r="L12" s="1046"/>
      <c r="M12" s="32"/>
      <c r="N12" s="60"/>
      <c r="O12" s="60"/>
      <c r="P12" s="23"/>
      <c r="Q12" s="23"/>
      <c r="R12" s="23"/>
      <c r="S12" s="32"/>
      <c r="T12" s="854"/>
      <c r="U12" s="854"/>
      <c r="V12" s="854"/>
      <c r="W12" s="854"/>
      <c r="X12" s="32"/>
    </row>
    <row r="13" spans="2:24" ht="12.75">
      <c r="B13" s="1060"/>
      <c r="C13" s="459" t="s">
        <v>272</v>
      </c>
      <c r="D13" s="459" t="s">
        <v>273</v>
      </c>
      <c r="E13" s="459" t="s">
        <v>274</v>
      </c>
      <c r="F13" s="460" t="s">
        <v>500</v>
      </c>
      <c r="G13" s="753">
        <f>1750000</f>
        <v>1750000</v>
      </c>
      <c r="H13" s="217">
        <f t="shared" si="0"/>
        <v>1876000</v>
      </c>
      <c r="I13" s="754">
        <v>270522</v>
      </c>
      <c r="J13" s="754">
        <v>133310</v>
      </c>
      <c r="K13" s="178">
        <f aca="true" t="shared" si="1" ref="K13:K26">SUM(H13:J13)</f>
        <v>2279832</v>
      </c>
      <c r="L13" s="1046"/>
      <c r="M13" s="32"/>
      <c r="N13" s="60"/>
      <c r="O13" s="60"/>
      <c r="P13" s="23"/>
      <c r="Q13" s="23"/>
      <c r="R13" s="23"/>
      <c r="S13" s="32"/>
      <c r="T13" s="854"/>
      <c r="U13" s="854"/>
      <c r="V13" s="854"/>
      <c r="W13" s="854"/>
      <c r="X13" s="32"/>
    </row>
    <row r="14" spans="2:24" ht="12.75">
      <c r="B14" s="1060"/>
      <c r="C14" s="723" t="s">
        <v>415</v>
      </c>
      <c r="D14" s="723" t="s">
        <v>416</v>
      </c>
      <c r="E14" s="751" t="s">
        <v>277</v>
      </c>
      <c r="F14" s="750" t="s">
        <v>500</v>
      </c>
      <c r="G14" s="749">
        <f>773418*12</f>
        <v>9281016</v>
      </c>
      <c r="H14" s="217">
        <f t="shared" si="0"/>
        <v>9949249.152</v>
      </c>
      <c r="I14" s="451">
        <v>0</v>
      </c>
      <c r="J14" s="754">
        <v>133310</v>
      </c>
      <c r="K14" s="178">
        <f t="shared" si="1"/>
        <v>10082559.152</v>
      </c>
      <c r="L14" s="1046"/>
      <c r="M14" s="32"/>
      <c r="N14" s="60"/>
      <c r="O14" s="60"/>
      <c r="P14" s="23"/>
      <c r="Q14" s="23"/>
      <c r="R14" s="23"/>
      <c r="S14" s="32"/>
      <c r="T14" s="854"/>
      <c r="U14" s="854"/>
      <c r="V14" s="854"/>
      <c r="W14" s="854"/>
      <c r="X14" s="32"/>
    </row>
    <row r="15" spans="2:24" ht="12.75">
      <c r="B15" s="1060"/>
      <c r="C15" s="463"/>
      <c r="D15" s="459"/>
      <c r="E15" s="459"/>
      <c r="F15" s="460"/>
      <c r="G15" s="464">
        <v>0</v>
      </c>
      <c r="H15" s="217">
        <f t="shared" si="0"/>
        <v>0</v>
      </c>
      <c r="I15" s="451">
        <v>0</v>
      </c>
      <c r="J15" s="754">
        <v>0</v>
      </c>
      <c r="K15" s="178">
        <f t="shared" si="1"/>
        <v>0</v>
      </c>
      <c r="L15" s="1046"/>
      <c r="M15" s="32"/>
      <c r="N15" s="60"/>
      <c r="O15" s="60"/>
      <c r="P15" s="23"/>
      <c r="Q15" s="23"/>
      <c r="R15" s="23"/>
      <c r="S15" s="32"/>
      <c r="T15" s="854"/>
      <c r="U15" s="854"/>
      <c r="V15" s="854"/>
      <c r="W15" s="854"/>
      <c r="X15" s="32"/>
    </row>
    <row r="16" spans="2:24" ht="12.75">
      <c r="B16" s="1060"/>
      <c r="C16" s="463"/>
      <c r="D16" s="459"/>
      <c r="E16" s="459"/>
      <c r="F16" s="460"/>
      <c r="G16" s="464">
        <v>0</v>
      </c>
      <c r="H16" s="217">
        <f t="shared" si="0"/>
        <v>0</v>
      </c>
      <c r="I16" s="451">
        <v>0</v>
      </c>
      <c r="J16" s="754">
        <v>0</v>
      </c>
      <c r="K16" s="178">
        <f t="shared" si="1"/>
        <v>0</v>
      </c>
      <c r="L16" s="1046"/>
      <c r="M16" s="32"/>
      <c r="N16" s="60"/>
      <c r="O16" s="60"/>
      <c r="P16" s="23"/>
      <c r="Q16" s="23"/>
      <c r="R16" s="23"/>
      <c r="S16" s="32"/>
      <c r="T16" s="854"/>
      <c r="U16" s="854"/>
      <c r="V16" s="854"/>
      <c r="W16" s="854"/>
      <c r="X16" s="32"/>
    </row>
    <row r="17" spans="2:24" ht="12.75">
      <c r="B17" s="1060"/>
      <c r="C17" s="463"/>
      <c r="D17" s="459"/>
      <c r="E17" s="459"/>
      <c r="F17" s="460"/>
      <c r="G17" s="464">
        <v>0</v>
      </c>
      <c r="H17" s="217">
        <f t="shared" si="0"/>
        <v>0</v>
      </c>
      <c r="I17" s="451">
        <v>0</v>
      </c>
      <c r="J17" s="754">
        <v>0</v>
      </c>
      <c r="K17" s="178">
        <f t="shared" si="1"/>
        <v>0</v>
      </c>
      <c r="L17" s="1046"/>
      <c r="M17" s="32"/>
      <c r="N17" s="60"/>
      <c r="O17" s="60"/>
      <c r="P17" s="23"/>
      <c r="Q17" s="23"/>
      <c r="R17" s="23"/>
      <c r="S17" s="32"/>
      <c r="T17" s="854"/>
      <c r="U17" s="854"/>
      <c r="V17" s="854"/>
      <c r="W17" s="854"/>
      <c r="X17" s="32"/>
    </row>
    <row r="18" spans="2:24" ht="13.5" thickBot="1">
      <c r="B18" s="1060"/>
      <c r="C18" s="526"/>
      <c r="D18" s="527"/>
      <c r="E18" s="527"/>
      <c r="F18" s="461"/>
      <c r="G18" s="465">
        <v>0</v>
      </c>
      <c r="H18" s="223">
        <f t="shared" si="0"/>
        <v>0</v>
      </c>
      <c r="I18" s="452">
        <v>0</v>
      </c>
      <c r="J18" s="264">
        <v>0</v>
      </c>
      <c r="K18" s="265">
        <f t="shared" si="1"/>
        <v>0</v>
      </c>
      <c r="L18" s="1047"/>
      <c r="M18" s="32"/>
      <c r="N18" s="60"/>
      <c r="O18" s="60"/>
      <c r="P18" s="23"/>
      <c r="Q18" s="23"/>
      <c r="R18" s="23"/>
      <c r="S18" s="32"/>
      <c r="T18" s="854"/>
      <c r="U18" s="854"/>
      <c r="V18" s="854"/>
      <c r="W18" s="854"/>
      <c r="X18" s="32"/>
    </row>
    <row r="19" spans="2:256" s="2" customFormat="1" ht="12.75" customHeight="1">
      <c r="B19" s="1067" t="str">
        <f>'B) Reajuste Tarifas y Ocupación'!A29</f>
        <v>Jardín Infantil Burbujitas de Mar</v>
      </c>
      <c r="C19" s="257" t="s">
        <v>275</v>
      </c>
      <c r="D19" s="457" t="s">
        <v>276</v>
      </c>
      <c r="E19" s="457" t="s">
        <v>277</v>
      </c>
      <c r="F19" s="639" t="s">
        <v>501</v>
      </c>
      <c r="G19" s="752">
        <f>773418*12</f>
        <v>9281016</v>
      </c>
      <c r="H19" s="712">
        <f>+G19*(1+$H$7)</f>
        <v>9949249.152</v>
      </c>
      <c r="I19" s="753">
        <v>270522</v>
      </c>
      <c r="J19" s="754">
        <v>133310</v>
      </c>
      <c r="K19" s="178">
        <f>SUM(H19:J19)</f>
        <v>10353081.152</v>
      </c>
      <c r="L19" s="1046">
        <f>SUM(K19:K26)</f>
        <v>29575399.232</v>
      </c>
      <c r="M19" s="32"/>
      <c r="N19" s="36"/>
      <c r="O19" s="36"/>
      <c r="P19" s="61"/>
      <c r="Q19" s="61"/>
      <c r="R19" s="61"/>
      <c r="S19" s="34"/>
      <c r="T19" s="33"/>
      <c r="U19" s="33"/>
      <c r="V19" s="33"/>
      <c r="W19" s="33"/>
      <c r="X19" s="35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2:256" s="2" customFormat="1" ht="12.75" customHeight="1">
      <c r="B20" s="1068"/>
      <c r="C20" s="181" t="s">
        <v>278</v>
      </c>
      <c r="D20" s="459" t="s">
        <v>279</v>
      </c>
      <c r="E20" s="459" t="s">
        <v>414</v>
      </c>
      <c r="F20" s="640" t="s">
        <v>500</v>
      </c>
      <c r="G20" s="451">
        <v>5829060</v>
      </c>
      <c r="H20" s="217">
        <f>+G20*(1+$H$7)</f>
        <v>6248752.32</v>
      </c>
      <c r="I20" s="451">
        <v>270522</v>
      </c>
      <c r="J20" s="754">
        <f>66655*2</f>
        <v>133310</v>
      </c>
      <c r="K20" s="178">
        <f>SUM(H20:J20)</f>
        <v>6652584.32</v>
      </c>
      <c r="L20" s="1046"/>
      <c r="M20" s="32"/>
      <c r="N20" s="36"/>
      <c r="O20" s="36"/>
      <c r="P20" s="23"/>
      <c r="Q20" s="23"/>
      <c r="R20" s="23"/>
      <c r="S20" s="34"/>
      <c r="T20" s="33"/>
      <c r="U20" s="33"/>
      <c r="V20" s="33"/>
      <c r="W20" s="33"/>
      <c r="X20" s="35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2:256" s="2" customFormat="1" ht="12.75" customHeight="1">
      <c r="B21" s="1068"/>
      <c r="C21" s="181" t="s">
        <v>269</v>
      </c>
      <c r="D21" s="459" t="s">
        <v>270</v>
      </c>
      <c r="E21" s="459" t="s">
        <v>271</v>
      </c>
      <c r="F21" s="640" t="s">
        <v>501</v>
      </c>
      <c r="G21" s="637">
        <f>491106*12</f>
        <v>5893272</v>
      </c>
      <c r="H21" s="712">
        <f>+G21*(1+$H$7)</f>
        <v>6317587.584000001</v>
      </c>
      <c r="I21" s="753">
        <v>270522</v>
      </c>
      <c r="J21" s="754">
        <v>133310</v>
      </c>
      <c r="K21" s="178">
        <f>SUM(H21:J21)</f>
        <v>6721419.584000001</v>
      </c>
      <c r="L21" s="1046"/>
      <c r="M21" s="32"/>
      <c r="N21" s="36"/>
      <c r="O21" s="36"/>
      <c r="P21" s="23"/>
      <c r="Q21" s="23"/>
      <c r="R21" s="23"/>
      <c r="S21" s="34"/>
      <c r="T21" s="33"/>
      <c r="U21" s="33"/>
      <c r="V21" s="33"/>
      <c r="W21" s="33"/>
      <c r="X21" s="35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2:256" s="2" customFormat="1" ht="12.75" customHeight="1">
      <c r="B22" s="1068"/>
      <c r="C22" s="722" t="s">
        <v>415</v>
      </c>
      <c r="D22" s="723" t="s">
        <v>416</v>
      </c>
      <c r="E22" s="723" t="s">
        <v>292</v>
      </c>
      <c r="F22" s="724" t="s">
        <v>500</v>
      </c>
      <c r="G22" s="755">
        <v>5078808</v>
      </c>
      <c r="H22" s="217">
        <f>+G22*(1+$H$7)</f>
        <v>5444482.176</v>
      </c>
      <c r="I22" s="451">
        <v>270522</v>
      </c>
      <c r="J22" s="754">
        <f>66655*2</f>
        <v>133310</v>
      </c>
      <c r="K22" s="178">
        <f>SUM(H22:J22)</f>
        <v>5848314.176</v>
      </c>
      <c r="L22" s="1046"/>
      <c r="M22" s="32"/>
      <c r="N22" s="36"/>
      <c r="O22" s="36"/>
      <c r="P22" s="23"/>
      <c r="Q22" s="23"/>
      <c r="R22" s="23"/>
      <c r="S22" s="34"/>
      <c r="T22" s="33"/>
      <c r="U22" s="33"/>
      <c r="V22" s="33"/>
      <c r="W22" s="33"/>
      <c r="X22" s="35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2:256" s="2" customFormat="1" ht="12.75" customHeight="1">
      <c r="B23" s="1068"/>
      <c r="C23" s="181"/>
      <c r="D23" s="459"/>
      <c r="E23" s="459"/>
      <c r="F23" s="640"/>
      <c r="G23" s="637">
        <v>0</v>
      </c>
      <c r="H23" s="712">
        <f>+G23*(1+$H$7)</f>
        <v>0</v>
      </c>
      <c r="I23" s="753">
        <v>0</v>
      </c>
      <c r="J23" s="754">
        <v>0</v>
      </c>
      <c r="K23" s="178">
        <f t="shared" si="1"/>
        <v>0</v>
      </c>
      <c r="L23" s="1046"/>
      <c r="M23" s="32"/>
      <c r="N23" s="36"/>
      <c r="O23" s="36"/>
      <c r="P23" s="23"/>
      <c r="Q23" s="23"/>
      <c r="R23" s="23"/>
      <c r="S23" s="34"/>
      <c r="T23" s="33"/>
      <c r="U23" s="33"/>
      <c r="V23" s="33"/>
      <c r="W23" s="33"/>
      <c r="X23" s="35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2:256" s="2" customFormat="1" ht="12.75" customHeight="1">
      <c r="B24" s="1068"/>
      <c r="C24" s="181"/>
      <c r="D24" s="459"/>
      <c r="E24" s="459"/>
      <c r="F24" s="640"/>
      <c r="G24" s="637">
        <v>0</v>
      </c>
      <c r="H24" s="217">
        <f t="shared" si="0"/>
        <v>0</v>
      </c>
      <c r="I24" s="451">
        <v>0</v>
      </c>
      <c r="J24" s="754">
        <v>0</v>
      </c>
      <c r="K24" s="178">
        <f t="shared" si="1"/>
        <v>0</v>
      </c>
      <c r="L24" s="1046"/>
      <c r="M24" s="32"/>
      <c r="N24" s="36"/>
      <c r="O24" s="36"/>
      <c r="P24" s="23"/>
      <c r="Q24" s="23"/>
      <c r="R24" s="23"/>
      <c r="S24" s="34"/>
      <c r="T24" s="33"/>
      <c r="U24" s="33"/>
      <c r="V24" s="33"/>
      <c r="W24" s="33"/>
      <c r="X24" s="35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2:256" s="2" customFormat="1" ht="12.75" customHeight="1">
      <c r="B25" s="1068"/>
      <c r="C25" s="181"/>
      <c r="D25" s="459"/>
      <c r="E25" s="459"/>
      <c r="F25" s="640"/>
      <c r="G25" s="637">
        <v>0</v>
      </c>
      <c r="H25" s="217">
        <v>0</v>
      </c>
      <c r="I25" s="451">
        <v>0</v>
      </c>
      <c r="J25" s="754">
        <v>0</v>
      </c>
      <c r="K25" s="178">
        <f t="shared" si="1"/>
        <v>0</v>
      </c>
      <c r="L25" s="1046"/>
      <c r="M25" s="32"/>
      <c r="N25" s="36"/>
      <c r="O25" s="36"/>
      <c r="P25" s="23"/>
      <c r="Q25" s="23"/>
      <c r="R25" s="23"/>
      <c r="S25" s="34"/>
      <c r="T25" s="33"/>
      <c r="U25" s="33"/>
      <c r="V25" s="33"/>
      <c r="W25" s="33"/>
      <c r="X25" s="35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2:256" s="2" customFormat="1" ht="12.75" customHeight="1" thickBot="1">
      <c r="B26" s="1069"/>
      <c r="C26" s="182"/>
      <c r="D26" s="262"/>
      <c r="E26" s="262"/>
      <c r="F26" s="641"/>
      <c r="G26" s="638">
        <v>0</v>
      </c>
      <c r="H26" s="217">
        <f t="shared" si="0"/>
        <v>0</v>
      </c>
      <c r="I26" s="452">
        <v>0</v>
      </c>
      <c r="J26" s="264">
        <v>0</v>
      </c>
      <c r="K26" s="178">
        <f t="shared" si="1"/>
        <v>0</v>
      </c>
      <c r="L26" s="1047"/>
      <c r="M26" s="32"/>
      <c r="N26" s="36"/>
      <c r="O26" s="36"/>
      <c r="P26" s="23"/>
      <c r="Q26" s="23"/>
      <c r="R26" s="23"/>
      <c r="S26" s="34"/>
      <c r="T26" s="33"/>
      <c r="U26" s="33"/>
      <c r="V26" s="33"/>
      <c r="W26" s="33"/>
      <c r="X26" s="35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2:20" ht="15" customHeight="1">
      <c r="B27" s="1049" t="s">
        <v>114</v>
      </c>
      <c r="C27" s="1050" t="s">
        <v>73</v>
      </c>
      <c r="D27" s="1052" t="s">
        <v>74</v>
      </c>
      <c r="E27" s="1054" t="s">
        <v>3</v>
      </c>
      <c r="F27" s="1056" t="s">
        <v>81</v>
      </c>
      <c r="G27" s="1107" t="s">
        <v>264</v>
      </c>
      <c r="H27" s="1108" t="s">
        <v>265</v>
      </c>
      <c r="I27" s="1109" t="s">
        <v>116</v>
      </c>
      <c r="J27" s="1110" t="s">
        <v>117</v>
      </c>
      <c r="K27" s="1023" t="s">
        <v>238</v>
      </c>
      <c r="L27" s="1023" t="s">
        <v>115</v>
      </c>
      <c r="O27" s="30"/>
      <c r="P27" s="30"/>
      <c r="Q27" s="30"/>
      <c r="R27" s="30"/>
      <c r="S27" s="30"/>
      <c r="T27" s="30"/>
    </row>
    <row r="28" spans="2:24" ht="42" customHeight="1" thickBot="1">
      <c r="B28" s="1049"/>
      <c r="C28" s="1051"/>
      <c r="D28" s="1053"/>
      <c r="E28" s="1055"/>
      <c r="F28" s="1057"/>
      <c r="G28" s="1117"/>
      <c r="H28" s="1118"/>
      <c r="I28" s="1119"/>
      <c r="J28" s="1055"/>
      <c r="K28" s="1048"/>
      <c r="L28" s="1048"/>
      <c r="M28" s="32"/>
      <c r="N28" s="60"/>
      <c r="O28" s="60"/>
      <c r="P28" s="23"/>
      <c r="Q28" s="23"/>
      <c r="R28" s="23"/>
      <c r="S28" s="32"/>
      <c r="T28" s="1058"/>
      <c r="U28" s="1058"/>
      <c r="V28" s="1058"/>
      <c r="W28" s="1058"/>
      <c r="X28" s="32"/>
    </row>
    <row r="29" spans="2:24" ht="12.75">
      <c r="B29" s="1067" t="str">
        <f>+'A) Resumen Ingresos y Egresos'!A11</f>
        <v>Sala Cuna Burbujitas de Mar Diurna</v>
      </c>
      <c r="C29" s="760" t="s">
        <v>282</v>
      </c>
      <c r="D29" s="457" t="s">
        <v>283</v>
      </c>
      <c r="E29" s="457" t="s">
        <v>277</v>
      </c>
      <c r="F29" s="639" t="s">
        <v>501</v>
      </c>
      <c r="G29" s="714">
        <f>841371*12</f>
        <v>10096452</v>
      </c>
      <c r="H29" s="711">
        <f>+G29*(1+$H$7)</f>
        <v>10823396.544</v>
      </c>
      <c r="I29" s="523">
        <v>270522</v>
      </c>
      <c r="J29" s="458">
        <v>133310</v>
      </c>
      <c r="K29" s="717">
        <f>SUM(H29:J29)</f>
        <v>11227228.544</v>
      </c>
      <c r="L29" s="1070">
        <f>SUM(K29:K43)</f>
        <v>87402842.4</v>
      </c>
      <c r="M29" s="32"/>
      <c r="N29" s="36"/>
      <c r="O29" s="36"/>
      <c r="P29" s="23"/>
      <c r="Q29" s="23"/>
      <c r="R29" s="23"/>
      <c r="S29" s="37"/>
      <c r="T29" s="37"/>
      <c r="U29" s="38"/>
      <c r="V29" s="38"/>
      <c r="W29" s="39"/>
      <c r="X29" s="39"/>
    </row>
    <row r="30" spans="2:24" ht="12.75">
      <c r="B30" s="1068"/>
      <c r="C30" s="761" t="s">
        <v>513</v>
      </c>
      <c r="D30" s="459" t="s">
        <v>514</v>
      </c>
      <c r="E30" s="459" t="s">
        <v>277</v>
      </c>
      <c r="F30" s="640" t="s">
        <v>501</v>
      </c>
      <c r="G30" s="752">
        <v>9281016</v>
      </c>
      <c r="H30" s="712">
        <f>+G30*(1+$H$7)</f>
        <v>9949249.152</v>
      </c>
      <c r="I30" s="753">
        <v>270522</v>
      </c>
      <c r="J30" s="754">
        <v>133310</v>
      </c>
      <c r="K30" s="718">
        <f>SUM(H30:J30)</f>
        <v>10353081.152</v>
      </c>
      <c r="L30" s="1071"/>
      <c r="M30" s="726" t="s">
        <v>502</v>
      </c>
      <c r="N30" s="36"/>
      <c r="O30" s="36"/>
      <c r="P30" s="36"/>
      <c r="Q30" s="36"/>
      <c r="R30" s="36"/>
      <c r="S30" s="37"/>
      <c r="T30" s="37"/>
      <c r="U30" s="38"/>
      <c r="V30" s="38"/>
      <c r="W30" s="39"/>
      <c r="X30" s="39"/>
    </row>
    <row r="31" spans="2:23" ht="12.75">
      <c r="B31" s="1068"/>
      <c r="C31" s="761" t="s">
        <v>515</v>
      </c>
      <c r="D31" s="459" t="s">
        <v>516</v>
      </c>
      <c r="E31" s="459" t="s">
        <v>277</v>
      </c>
      <c r="F31" s="640" t="s">
        <v>501</v>
      </c>
      <c r="G31" s="752">
        <v>9281016</v>
      </c>
      <c r="H31" s="712">
        <f>+G31*(1+$H$7)</f>
        <v>9949249.152</v>
      </c>
      <c r="I31" s="753">
        <v>270522</v>
      </c>
      <c r="J31" s="754">
        <v>133310</v>
      </c>
      <c r="K31" s="718">
        <f>SUM(H31:J31)</f>
        <v>10353081.152</v>
      </c>
      <c r="L31" s="1071"/>
      <c r="M31" s="721" t="s">
        <v>448</v>
      </c>
      <c r="N31" s="36"/>
      <c r="O31" s="36"/>
      <c r="P31" s="61"/>
      <c r="Q31" s="61"/>
      <c r="R31" s="61"/>
      <c r="T31" s="854"/>
      <c r="U31" s="854"/>
      <c r="V31" s="854"/>
      <c r="W31" s="854"/>
    </row>
    <row r="32" spans="2:24" ht="12.75">
      <c r="B32" s="1068"/>
      <c r="C32" s="762" t="s">
        <v>450</v>
      </c>
      <c r="D32" s="723" t="s">
        <v>449</v>
      </c>
      <c r="E32" s="723" t="s">
        <v>277</v>
      </c>
      <c r="F32" s="724" t="s">
        <v>501</v>
      </c>
      <c r="G32" s="637">
        <v>0</v>
      </c>
      <c r="H32" s="712">
        <f aca="true" t="shared" si="2" ref="H32:H58">+G32*(1+$H$7)</f>
        <v>0</v>
      </c>
      <c r="I32" s="753">
        <v>270522</v>
      </c>
      <c r="J32" s="754">
        <v>133310</v>
      </c>
      <c r="K32" s="718">
        <f aca="true" t="shared" si="3" ref="K32:K43">SUM(H32:J32)</f>
        <v>403832</v>
      </c>
      <c r="L32" s="1071"/>
      <c r="M32" s="721" t="s">
        <v>503</v>
      </c>
      <c r="N32" s="36"/>
      <c r="O32" s="36"/>
      <c r="P32" s="23"/>
      <c r="Q32" s="23"/>
      <c r="R32" s="23"/>
      <c r="S32" s="37"/>
      <c r="T32" s="37"/>
      <c r="U32" s="38"/>
      <c r="V32" s="38"/>
      <c r="W32" s="39"/>
      <c r="X32" s="39"/>
    </row>
    <row r="33" spans="2:24" ht="12.75">
      <c r="B33" s="1068"/>
      <c r="C33" s="761" t="s">
        <v>285</v>
      </c>
      <c r="D33" s="459" t="s">
        <v>286</v>
      </c>
      <c r="E33" s="459" t="s">
        <v>414</v>
      </c>
      <c r="F33" s="640" t="s">
        <v>501</v>
      </c>
      <c r="G33" s="637">
        <f>587619*12</f>
        <v>7051428</v>
      </c>
      <c r="H33" s="712">
        <f t="shared" si="2"/>
        <v>7559130.816000001</v>
      </c>
      <c r="I33" s="753">
        <v>270522</v>
      </c>
      <c r="J33" s="754">
        <v>133310</v>
      </c>
      <c r="K33" s="718">
        <f t="shared" si="3"/>
        <v>7962962.816000001</v>
      </c>
      <c r="L33" s="1071"/>
      <c r="M33" s="32"/>
      <c r="N33" s="36"/>
      <c r="O33" s="36"/>
      <c r="P33" s="23"/>
      <c r="Q33" s="23"/>
      <c r="R33" s="23"/>
      <c r="S33" s="37"/>
      <c r="T33" s="37"/>
      <c r="U33" s="38"/>
      <c r="V33" s="38"/>
      <c r="W33" s="39"/>
      <c r="X33" s="39"/>
    </row>
    <row r="34" spans="2:24" ht="12.75">
      <c r="B34" s="1068"/>
      <c r="C34" s="761" t="s">
        <v>287</v>
      </c>
      <c r="D34" s="459" t="s">
        <v>288</v>
      </c>
      <c r="E34" s="459" t="s">
        <v>414</v>
      </c>
      <c r="F34" s="640" t="s">
        <v>501</v>
      </c>
      <c r="G34" s="752">
        <f>564611*12</f>
        <v>6775332</v>
      </c>
      <c r="H34" s="712">
        <f t="shared" si="2"/>
        <v>7263155.904</v>
      </c>
      <c r="I34" s="753">
        <v>270522</v>
      </c>
      <c r="J34" s="754">
        <v>133310</v>
      </c>
      <c r="K34" s="718">
        <f t="shared" si="3"/>
        <v>7666987.904</v>
      </c>
      <c r="L34" s="1071"/>
      <c r="M34" s="32"/>
      <c r="N34" s="36"/>
      <c r="O34" s="36"/>
      <c r="P34" s="23"/>
      <c r="Q34" s="23"/>
      <c r="R34" s="23"/>
      <c r="S34" s="37"/>
      <c r="T34" s="37"/>
      <c r="U34" s="38"/>
      <c r="V34" s="38"/>
      <c r="W34" s="39"/>
      <c r="X34" s="39"/>
    </row>
    <row r="35" spans="2:24" ht="12.75">
      <c r="B35" s="1068"/>
      <c r="C35" s="761" t="s">
        <v>280</v>
      </c>
      <c r="D35" s="459" t="s">
        <v>281</v>
      </c>
      <c r="E35" s="459" t="s">
        <v>414</v>
      </c>
      <c r="F35" s="460" t="s">
        <v>500</v>
      </c>
      <c r="G35" s="753">
        <f>534963*12</f>
        <v>6419556</v>
      </c>
      <c r="H35" s="467">
        <f>+G35*(1+$H$7)</f>
        <v>6881764.032000001</v>
      </c>
      <c r="I35" s="451">
        <v>270522</v>
      </c>
      <c r="J35" s="453">
        <v>133310</v>
      </c>
      <c r="K35" s="718">
        <f t="shared" si="3"/>
        <v>7285596.032000001</v>
      </c>
      <c r="L35" s="1071"/>
      <c r="M35" s="32"/>
      <c r="N35" s="36"/>
      <c r="O35" s="36"/>
      <c r="P35" s="23"/>
      <c r="Q35" s="23"/>
      <c r="R35" s="23"/>
      <c r="S35" s="37"/>
      <c r="T35" s="37"/>
      <c r="U35" s="38"/>
      <c r="V35" s="38"/>
      <c r="W35" s="39"/>
      <c r="X35" s="39"/>
    </row>
    <row r="36" spans="2:24" ht="12.75">
      <c r="B36" s="1068"/>
      <c r="C36" s="761" t="s">
        <v>302</v>
      </c>
      <c r="D36" s="459" t="s">
        <v>303</v>
      </c>
      <c r="E36" s="459" t="s">
        <v>414</v>
      </c>
      <c r="F36" s="640" t="s">
        <v>501</v>
      </c>
      <c r="G36" s="637">
        <v>5829060</v>
      </c>
      <c r="H36" s="712">
        <f t="shared" si="2"/>
        <v>6248752.32</v>
      </c>
      <c r="I36" s="753">
        <v>270522</v>
      </c>
      <c r="J36" s="754">
        <v>133310</v>
      </c>
      <c r="K36" s="718">
        <f t="shared" si="3"/>
        <v>6652584.32</v>
      </c>
      <c r="L36" s="1071"/>
      <c r="M36" s="32"/>
      <c r="N36" s="36"/>
      <c r="O36" s="36"/>
      <c r="P36" s="23"/>
      <c r="Q36" s="23"/>
      <c r="R36" s="23"/>
      <c r="S36" s="37"/>
      <c r="T36" s="37"/>
      <c r="U36" s="38"/>
      <c r="V36" s="38"/>
      <c r="W36" s="39"/>
      <c r="X36" s="39"/>
    </row>
    <row r="37" spans="2:24" ht="12.75">
      <c r="B37" s="1068"/>
      <c r="C37" s="761" t="s">
        <v>290</v>
      </c>
      <c r="D37" s="459" t="s">
        <v>291</v>
      </c>
      <c r="E37" s="459" t="s">
        <v>292</v>
      </c>
      <c r="F37" s="640" t="s">
        <v>501</v>
      </c>
      <c r="G37" s="637">
        <f>501857*12</f>
        <v>6022284</v>
      </c>
      <c r="H37" s="712">
        <f t="shared" si="2"/>
        <v>6455888.448000001</v>
      </c>
      <c r="I37" s="753">
        <v>270522</v>
      </c>
      <c r="J37" s="754">
        <v>133310</v>
      </c>
      <c r="K37" s="718">
        <f t="shared" si="3"/>
        <v>6859720.448000001</v>
      </c>
      <c r="L37" s="1071"/>
      <c r="M37" s="32"/>
      <c r="N37" s="36"/>
      <c r="O37" s="36"/>
      <c r="P37" s="23"/>
      <c r="Q37" s="23"/>
      <c r="R37" s="23"/>
      <c r="S37" s="37"/>
      <c r="T37" s="37"/>
      <c r="U37" s="38"/>
      <c r="V37" s="38"/>
      <c r="W37" s="39"/>
      <c r="X37" s="39"/>
    </row>
    <row r="38" spans="2:24" ht="12.75">
      <c r="B38" s="1068"/>
      <c r="C38" s="761" t="s">
        <v>293</v>
      </c>
      <c r="D38" s="459" t="s">
        <v>291</v>
      </c>
      <c r="E38" s="459" t="s">
        <v>274</v>
      </c>
      <c r="F38" s="640" t="s">
        <v>501</v>
      </c>
      <c r="G38" s="715">
        <f>425203*12</f>
        <v>5102436</v>
      </c>
      <c r="H38" s="712">
        <f t="shared" si="2"/>
        <v>5469811.392</v>
      </c>
      <c r="I38" s="753">
        <v>270522</v>
      </c>
      <c r="J38" s="754">
        <v>133310</v>
      </c>
      <c r="K38" s="718">
        <f t="shared" si="3"/>
        <v>5873643.392</v>
      </c>
      <c r="L38" s="1071"/>
      <c r="M38" s="32"/>
      <c r="N38" s="36"/>
      <c r="O38" s="36"/>
      <c r="P38" s="23"/>
      <c r="Q38" s="23"/>
      <c r="R38" s="23"/>
      <c r="S38" s="37"/>
      <c r="T38" s="37"/>
      <c r="U38" s="38"/>
      <c r="V38" s="38"/>
      <c r="W38" s="39"/>
      <c r="X38" s="39"/>
    </row>
    <row r="39" spans="2:24" ht="12.75">
      <c r="B39" s="1068"/>
      <c r="C39" s="762" t="s">
        <v>415</v>
      </c>
      <c r="D39" s="723" t="s">
        <v>416</v>
      </c>
      <c r="E39" s="723" t="s">
        <v>271</v>
      </c>
      <c r="F39" s="724" t="s">
        <v>501</v>
      </c>
      <c r="G39" s="637">
        <v>5829060</v>
      </c>
      <c r="H39" s="712">
        <f t="shared" si="2"/>
        <v>6248752.32</v>
      </c>
      <c r="I39" s="753">
        <v>0</v>
      </c>
      <c r="J39" s="754">
        <v>133310</v>
      </c>
      <c r="K39" s="718">
        <f t="shared" si="3"/>
        <v>6382062.32</v>
      </c>
      <c r="L39" s="1071"/>
      <c r="M39" s="721" t="s">
        <v>539</v>
      </c>
      <c r="N39" s="36"/>
      <c r="O39" s="36"/>
      <c r="P39" s="23"/>
      <c r="Q39" s="23"/>
      <c r="R39" s="23"/>
      <c r="S39" s="37"/>
      <c r="T39" s="37"/>
      <c r="U39" s="38"/>
      <c r="V39" s="38"/>
      <c r="W39" s="39"/>
      <c r="X39" s="39"/>
    </row>
    <row r="40" spans="2:24" ht="12.75">
      <c r="B40" s="1068"/>
      <c r="C40" s="762" t="s">
        <v>415</v>
      </c>
      <c r="D40" s="723" t="s">
        <v>416</v>
      </c>
      <c r="E40" s="723" t="s">
        <v>271</v>
      </c>
      <c r="F40" s="724" t="s">
        <v>501</v>
      </c>
      <c r="G40" s="637">
        <v>5829060</v>
      </c>
      <c r="H40" s="712">
        <f t="shared" si="2"/>
        <v>6248752.32</v>
      </c>
      <c r="I40" s="753">
        <v>0</v>
      </c>
      <c r="J40" s="754">
        <v>133310</v>
      </c>
      <c r="K40" s="718">
        <f t="shared" si="3"/>
        <v>6382062.32</v>
      </c>
      <c r="L40" s="1071"/>
      <c r="M40" s="32"/>
      <c r="N40" s="36"/>
      <c r="O40" s="36"/>
      <c r="P40" s="23"/>
      <c r="Q40" s="23"/>
      <c r="R40" s="23"/>
      <c r="S40" s="37"/>
      <c r="T40" s="37"/>
      <c r="U40" s="38"/>
      <c r="V40" s="38"/>
      <c r="W40" s="39"/>
      <c r="X40" s="39"/>
    </row>
    <row r="41" spans="2:24" ht="12.75">
      <c r="B41" s="1068"/>
      <c r="C41" s="761"/>
      <c r="D41" s="459"/>
      <c r="E41" s="459"/>
      <c r="F41" s="640"/>
      <c r="G41" s="637">
        <v>0</v>
      </c>
      <c r="H41" s="712">
        <f t="shared" si="2"/>
        <v>0</v>
      </c>
      <c r="I41" s="753">
        <v>0</v>
      </c>
      <c r="J41" s="754">
        <v>0</v>
      </c>
      <c r="K41" s="718">
        <f t="shared" si="3"/>
        <v>0</v>
      </c>
      <c r="L41" s="1071"/>
      <c r="M41" s="32"/>
      <c r="N41" s="36"/>
      <c r="O41" s="36"/>
      <c r="P41" s="23"/>
      <c r="Q41" s="23"/>
      <c r="R41" s="23"/>
      <c r="S41" s="37"/>
      <c r="T41" s="37"/>
      <c r="U41" s="38"/>
      <c r="V41" s="38"/>
      <c r="W41" s="39"/>
      <c r="X41" s="39"/>
    </row>
    <row r="42" spans="2:24" ht="12.75">
      <c r="B42" s="1068"/>
      <c r="C42" s="761"/>
      <c r="D42" s="459"/>
      <c r="E42" s="459"/>
      <c r="F42" s="640"/>
      <c r="G42" s="637">
        <v>0</v>
      </c>
      <c r="H42" s="712">
        <f t="shared" si="2"/>
        <v>0</v>
      </c>
      <c r="I42" s="753">
        <v>0</v>
      </c>
      <c r="J42" s="754">
        <v>0</v>
      </c>
      <c r="K42" s="718">
        <f t="shared" si="3"/>
        <v>0</v>
      </c>
      <c r="L42" s="1071"/>
      <c r="M42" s="32"/>
      <c r="N42" s="36"/>
      <c r="O42" s="36"/>
      <c r="P42" s="23"/>
      <c r="Q42" s="23"/>
      <c r="R42" s="23"/>
      <c r="S42" s="37"/>
      <c r="T42" s="37"/>
      <c r="U42" s="38"/>
      <c r="V42" s="38"/>
      <c r="W42" s="39"/>
      <c r="X42" s="39"/>
    </row>
    <row r="43" spans="2:24" ht="13.5" thickBot="1">
      <c r="B43" s="1068"/>
      <c r="C43" s="763"/>
      <c r="D43" s="262"/>
      <c r="E43" s="262"/>
      <c r="F43" s="641"/>
      <c r="G43" s="638">
        <v>0</v>
      </c>
      <c r="H43" s="716">
        <f t="shared" si="2"/>
        <v>0</v>
      </c>
      <c r="I43" s="719">
        <v>0</v>
      </c>
      <c r="J43" s="264">
        <v>0</v>
      </c>
      <c r="K43" s="720">
        <f t="shared" si="3"/>
        <v>0</v>
      </c>
      <c r="L43" s="1072"/>
      <c r="M43" s="32"/>
      <c r="N43" s="36"/>
      <c r="O43" s="36"/>
      <c r="P43" s="23"/>
      <c r="Q43" s="23"/>
      <c r="R43" s="23"/>
      <c r="S43" s="37"/>
      <c r="T43" s="37"/>
      <c r="U43" s="38"/>
      <c r="V43" s="38"/>
      <c r="W43" s="39"/>
      <c r="X43" s="39"/>
    </row>
    <row r="44" spans="2:24" ht="12.75">
      <c r="B44" s="1059" t="str">
        <f>+'A) Resumen Ingresos y Egresos'!A12</f>
        <v>Sala Cuna Burbujitas de Mar Nocturna</v>
      </c>
      <c r="C44" s="454" t="s">
        <v>294</v>
      </c>
      <c r="D44" s="454" t="s">
        <v>295</v>
      </c>
      <c r="E44" s="454" t="s">
        <v>277</v>
      </c>
      <c r="F44" s="455" t="s">
        <v>284</v>
      </c>
      <c r="G44" s="713">
        <f>621940*12</f>
        <v>7463280</v>
      </c>
      <c r="H44" s="466">
        <f t="shared" si="2"/>
        <v>8000636.16</v>
      </c>
      <c r="I44" s="636">
        <v>270522</v>
      </c>
      <c r="J44" s="453">
        <v>133310</v>
      </c>
      <c r="K44" s="456">
        <f>SUM(H44:J44)</f>
        <v>8404468.16</v>
      </c>
      <c r="L44" s="1046">
        <f>SUM(K44:K58)</f>
        <v>37683421.824</v>
      </c>
      <c r="M44" s="32"/>
      <c r="N44" s="36"/>
      <c r="O44" s="36"/>
      <c r="P44" s="23"/>
      <c r="Q44" s="23"/>
      <c r="R44" s="23"/>
      <c r="S44" s="37"/>
      <c r="T44" s="37"/>
      <c r="U44" s="38"/>
      <c r="V44" s="38"/>
      <c r="W44" s="39"/>
      <c r="X44" s="39"/>
    </row>
    <row r="45" spans="2:24" ht="12.75" customHeight="1">
      <c r="B45" s="1060"/>
      <c r="C45" s="459" t="s">
        <v>517</v>
      </c>
      <c r="D45" s="459" t="s">
        <v>518</v>
      </c>
      <c r="E45" s="459" t="s">
        <v>277</v>
      </c>
      <c r="F45" s="460" t="s">
        <v>284</v>
      </c>
      <c r="G45" s="753">
        <f>621940*12</f>
        <v>7463280</v>
      </c>
      <c r="H45" s="217">
        <f t="shared" si="2"/>
        <v>8000636.16</v>
      </c>
      <c r="I45" s="451">
        <v>270522</v>
      </c>
      <c r="J45" s="754">
        <v>133310</v>
      </c>
      <c r="K45" s="178">
        <f>SUM(H45:J45)</f>
        <v>8404468.16</v>
      </c>
      <c r="L45" s="1046"/>
      <c r="M45" s="32"/>
      <c r="N45" s="36"/>
      <c r="O45" s="36"/>
      <c r="P45" s="36"/>
      <c r="Q45" s="36"/>
      <c r="R45" s="36"/>
      <c r="S45" s="37"/>
      <c r="T45" s="37"/>
      <c r="U45" s="38"/>
      <c r="V45" s="38"/>
      <c r="W45" s="39"/>
      <c r="X45" s="39"/>
    </row>
    <row r="46" spans="2:23" ht="12.75" customHeight="1">
      <c r="B46" s="1060"/>
      <c r="C46" s="459" t="s">
        <v>296</v>
      </c>
      <c r="D46" s="459" t="s">
        <v>297</v>
      </c>
      <c r="E46" s="459" t="s">
        <v>277</v>
      </c>
      <c r="F46" s="460" t="s">
        <v>284</v>
      </c>
      <c r="G46" s="753">
        <f>621940*12</f>
        <v>7463280</v>
      </c>
      <c r="H46" s="217">
        <f t="shared" si="2"/>
        <v>8000636.16</v>
      </c>
      <c r="I46" s="451">
        <v>270522</v>
      </c>
      <c r="J46" s="754">
        <v>133310</v>
      </c>
      <c r="K46" s="178">
        <f aca="true" t="shared" si="4" ref="K46:K58">SUM(H46:J46)</f>
        <v>8404468.16</v>
      </c>
      <c r="L46" s="1046"/>
      <c r="M46" s="32"/>
      <c r="N46" s="36"/>
      <c r="O46" s="36"/>
      <c r="P46" s="61"/>
      <c r="Q46" s="61"/>
      <c r="R46" s="61"/>
      <c r="T46" s="854"/>
      <c r="U46" s="854"/>
      <c r="V46" s="854"/>
      <c r="W46" s="854"/>
    </row>
    <row r="47" spans="2:24" ht="12.75" customHeight="1">
      <c r="B47" s="1060"/>
      <c r="C47" s="459" t="s">
        <v>298</v>
      </c>
      <c r="D47" s="459" t="s">
        <v>299</v>
      </c>
      <c r="E47" s="459" t="s">
        <v>277</v>
      </c>
      <c r="F47" s="460" t="s">
        <v>284</v>
      </c>
      <c r="G47" s="753">
        <v>0</v>
      </c>
      <c r="H47" s="217">
        <f t="shared" si="2"/>
        <v>0</v>
      </c>
      <c r="I47" s="451">
        <v>270522</v>
      </c>
      <c r="J47" s="754">
        <v>133310</v>
      </c>
      <c r="K47" s="178">
        <f t="shared" si="4"/>
        <v>403832</v>
      </c>
      <c r="L47" s="1046"/>
      <c r="M47" s="32"/>
      <c r="N47" s="36"/>
      <c r="O47" s="36"/>
      <c r="P47" s="23"/>
      <c r="Q47" s="23"/>
      <c r="R47" s="23"/>
      <c r="S47" s="37"/>
      <c r="T47" s="37"/>
      <c r="U47" s="38"/>
      <c r="V47" s="38"/>
      <c r="W47" s="39"/>
      <c r="X47" s="39"/>
    </row>
    <row r="48" spans="2:24" ht="12.75" customHeight="1">
      <c r="B48" s="1060"/>
      <c r="C48" s="459" t="s">
        <v>300</v>
      </c>
      <c r="D48" s="459" t="s">
        <v>301</v>
      </c>
      <c r="E48" s="459" t="s">
        <v>414</v>
      </c>
      <c r="F48" s="460" t="s">
        <v>284</v>
      </c>
      <c r="G48" s="753">
        <f>437598*12</f>
        <v>5251176</v>
      </c>
      <c r="H48" s="217">
        <f t="shared" si="2"/>
        <v>5629260.672</v>
      </c>
      <c r="I48" s="451">
        <v>270522</v>
      </c>
      <c r="J48" s="754">
        <v>133310</v>
      </c>
      <c r="K48" s="178">
        <f t="shared" si="4"/>
        <v>6033092.672</v>
      </c>
      <c r="L48" s="1046"/>
      <c r="M48" s="32"/>
      <c r="N48" s="36"/>
      <c r="O48" s="36"/>
      <c r="P48" s="23"/>
      <c r="Q48" s="23"/>
      <c r="R48" s="23"/>
      <c r="S48" s="37"/>
      <c r="T48" s="37"/>
      <c r="U48" s="38"/>
      <c r="V48" s="38"/>
      <c r="W48" s="39"/>
      <c r="X48" s="39"/>
    </row>
    <row r="49" spans="2:24" ht="12.75" customHeight="1">
      <c r="B49" s="1060"/>
      <c r="C49" s="459" t="s">
        <v>491</v>
      </c>
      <c r="D49" s="459" t="s">
        <v>490</v>
      </c>
      <c r="E49" s="459" t="s">
        <v>414</v>
      </c>
      <c r="F49" s="460" t="s">
        <v>284</v>
      </c>
      <c r="G49" s="753">
        <f>437598*12</f>
        <v>5251176</v>
      </c>
      <c r="H49" s="217">
        <f t="shared" si="2"/>
        <v>5629260.672</v>
      </c>
      <c r="I49" s="451">
        <v>270522</v>
      </c>
      <c r="J49" s="754">
        <v>133310</v>
      </c>
      <c r="K49" s="178">
        <f t="shared" si="4"/>
        <v>6033092.672</v>
      </c>
      <c r="L49" s="1046"/>
      <c r="M49" s="32"/>
      <c r="N49" s="36"/>
      <c r="O49" s="36"/>
      <c r="P49" s="23"/>
      <c r="Q49" s="23"/>
      <c r="R49" s="23"/>
      <c r="S49" s="37"/>
      <c r="T49" s="37"/>
      <c r="U49" s="38"/>
      <c r="V49" s="38"/>
      <c r="W49" s="39"/>
      <c r="X49" s="39"/>
    </row>
    <row r="50" spans="2:24" ht="12.75" customHeight="1">
      <c r="B50" s="1060"/>
      <c r="C50" s="524"/>
      <c r="D50" s="524"/>
      <c r="E50" s="524"/>
      <c r="F50" s="525"/>
      <c r="G50" s="753">
        <v>0</v>
      </c>
      <c r="H50" s="217">
        <f t="shared" si="2"/>
        <v>0</v>
      </c>
      <c r="I50" s="451">
        <v>0</v>
      </c>
      <c r="J50" s="754">
        <v>0</v>
      </c>
      <c r="K50" s="178">
        <f t="shared" si="4"/>
        <v>0</v>
      </c>
      <c r="L50" s="1046"/>
      <c r="M50" s="32"/>
      <c r="N50" s="36"/>
      <c r="O50" s="36"/>
      <c r="P50" s="23"/>
      <c r="Q50" s="23"/>
      <c r="R50" s="23"/>
      <c r="S50" s="37"/>
      <c r="T50" s="37"/>
      <c r="U50" s="38"/>
      <c r="V50" s="38"/>
      <c r="W50" s="39"/>
      <c r="X50" s="39"/>
    </row>
    <row r="51" spans="2:24" ht="12.75" customHeight="1">
      <c r="B51" s="1060"/>
      <c r="C51" s="463"/>
      <c r="D51" s="459"/>
      <c r="E51" s="459"/>
      <c r="F51" s="460"/>
      <c r="G51" s="464">
        <v>0</v>
      </c>
      <c r="H51" s="217">
        <f t="shared" si="2"/>
        <v>0</v>
      </c>
      <c r="I51" s="451">
        <v>0</v>
      </c>
      <c r="J51" s="754">
        <v>0</v>
      </c>
      <c r="K51" s="178">
        <f t="shared" si="4"/>
        <v>0</v>
      </c>
      <c r="L51" s="1046"/>
      <c r="M51" s="32"/>
      <c r="N51" s="36"/>
      <c r="O51" s="36"/>
      <c r="P51" s="23"/>
      <c r="Q51" s="23"/>
      <c r="R51" s="23"/>
      <c r="S51" s="37"/>
      <c r="T51" s="37"/>
      <c r="U51" s="38"/>
      <c r="V51" s="38"/>
      <c r="W51" s="39"/>
      <c r="X51" s="39"/>
    </row>
    <row r="52" spans="2:24" ht="12.75">
      <c r="B52" s="1060"/>
      <c r="C52" s="463"/>
      <c r="D52" s="459"/>
      <c r="E52" s="459"/>
      <c r="F52" s="460"/>
      <c r="G52" s="464">
        <v>0</v>
      </c>
      <c r="H52" s="217">
        <f t="shared" si="2"/>
        <v>0</v>
      </c>
      <c r="I52" s="451">
        <v>0</v>
      </c>
      <c r="J52" s="754">
        <v>0</v>
      </c>
      <c r="K52" s="178">
        <f t="shared" si="4"/>
        <v>0</v>
      </c>
      <c r="L52" s="1046"/>
      <c r="M52" s="32"/>
      <c r="N52" s="36"/>
      <c r="O52" s="36"/>
      <c r="P52" s="23"/>
      <c r="Q52" s="23"/>
      <c r="R52" s="23"/>
      <c r="S52" s="37"/>
      <c r="T52" s="37"/>
      <c r="U52" s="38"/>
      <c r="V52" s="38"/>
      <c r="W52" s="39"/>
      <c r="X52" s="39"/>
    </row>
    <row r="53" spans="2:24" ht="12.75" customHeight="1">
      <c r="B53" s="1060"/>
      <c r="C53" s="463"/>
      <c r="D53" s="459"/>
      <c r="E53" s="459"/>
      <c r="F53" s="460"/>
      <c r="G53" s="464">
        <v>0</v>
      </c>
      <c r="H53" s="217">
        <f t="shared" si="2"/>
        <v>0</v>
      </c>
      <c r="I53" s="451">
        <v>0</v>
      </c>
      <c r="J53" s="754">
        <v>0</v>
      </c>
      <c r="K53" s="178">
        <f t="shared" si="4"/>
        <v>0</v>
      </c>
      <c r="L53" s="1046"/>
      <c r="M53" s="32"/>
      <c r="N53" s="36"/>
      <c r="O53" s="36"/>
      <c r="P53" s="23"/>
      <c r="Q53" s="23"/>
      <c r="R53" s="23"/>
      <c r="S53" s="37"/>
      <c r="T53" s="37"/>
      <c r="U53" s="38"/>
      <c r="V53" s="38"/>
      <c r="W53" s="39"/>
      <c r="X53" s="39"/>
    </row>
    <row r="54" spans="2:24" ht="12.75" customHeight="1">
      <c r="B54" s="1060"/>
      <c r="C54" s="463"/>
      <c r="D54" s="459"/>
      <c r="E54" s="459"/>
      <c r="F54" s="460"/>
      <c r="G54" s="464">
        <v>0</v>
      </c>
      <c r="H54" s="217">
        <f t="shared" si="2"/>
        <v>0</v>
      </c>
      <c r="I54" s="451">
        <v>0</v>
      </c>
      <c r="J54" s="754">
        <v>0</v>
      </c>
      <c r="K54" s="178">
        <f t="shared" si="4"/>
        <v>0</v>
      </c>
      <c r="L54" s="1046"/>
      <c r="M54" s="32"/>
      <c r="N54" s="36"/>
      <c r="O54" s="36"/>
      <c r="P54" s="23"/>
      <c r="Q54" s="23"/>
      <c r="R54" s="23"/>
      <c r="S54" s="37"/>
      <c r="T54" s="37"/>
      <c r="U54" s="38"/>
      <c r="V54" s="38"/>
      <c r="W54" s="39"/>
      <c r="X54" s="39"/>
    </row>
    <row r="55" spans="2:24" ht="13.5" customHeight="1">
      <c r="B55" s="1060"/>
      <c r="C55" s="463"/>
      <c r="D55" s="459"/>
      <c r="E55" s="459"/>
      <c r="F55" s="460"/>
      <c r="G55" s="464">
        <v>0</v>
      </c>
      <c r="H55" s="217">
        <f t="shared" si="2"/>
        <v>0</v>
      </c>
      <c r="I55" s="451">
        <v>0</v>
      </c>
      <c r="J55" s="754">
        <v>0</v>
      </c>
      <c r="K55" s="178">
        <f t="shared" si="4"/>
        <v>0</v>
      </c>
      <c r="L55" s="1046"/>
      <c r="M55" s="32"/>
      <c r="N55" s="36"/>
      <c r="O55" s="36"/>
      <c r="P55" s="23"/>
      <c r="Q55" s="23"/>
      <c r="R55" s="23"/>
      <c r="S55" s="37"/>
      <c r="T55" s="37"/>
      <c r="U55" s="38"/>
      <c r="V55" s="38"/>
      <c r="W55" s="39"/>
      <c r="X55" s="39"/>
    </row>
    <row r="56" spans="2:24" ht="12.75" customHeight="1">
      <c r="B56" s="1060"/>
      <c r="C56" s="463"/>
      <c r="D56" s="459"/>
      <c r="E56" s="459"/>
      <c r="F56" s="460"/>
      <c r="G56" s="464">
        <v>0</v>
      </c>
      <c r="H56" s="217">
        <f t="shared" si="2"/>
        <v>0</v>
      </c>
      <c r="I56" s="451">
        <v>0</v>
      </c>
      <c r="J56" s="754">
        <v>0</v>
      </c>
      <c r="K56" s="178">
        <f t="shared" si="4"/>
        <v>0</v>
      </c>
      <c r="L56" s="1046"/>
      <c r="M56" s="32"/>
      <c r="N56" s="36"/>
      <c r="O56" s="36"/>
      <c r="P56" s="23"/>
      <c r="Q56" s="23"/>
      <c r="R56" s="23"/>
      <c r="S56" s="37"/>
      <c r="T56" s="37"/>
      <c r="U56" s="38"/>
      <c r="V56" s="38"/>
      <c r="W56" s="39"/>
      <c r="X56" s="39"/>
    </row>
    <row r="57" spans="2:24" ht="13.5" customHeight="1">
      <c r="B57" s="1060"/>
      <c r="C57" s="463"/>
      <c r="D57" s="459"/>
      <c r="E57" s="459"/>
      <c r="F57" s="460"/>
      <c r="G57" s="464">
        <v>0</v>
      </c>
      <c r="H57" s="217">
        <f t="shared" si="2"/>
        <v>0</v>
      </c>
      <c r="I57" s="451">
        <v>0</v>
      </c>
      <c r="J57" s="754">
        <v>0</v>
      </c>
      <c r="K57" s="178">
        <f t="shared" si="4"/>
        <v>0</v>
      </c>
      <c r="L57" s="1046"/>
      <c r="M57" s="32"/>
      <c r="N57" s="36"/>
      <c r="O57" s="36"/>
      <c r="P57" s="23"/>
      <c r="Q57" s="23"/>
      <c r="R57" s="23"/>
      <c r="S57" s="37"/>
      <c r="T57" s="37"/>
      <c r="U57" s="38"/>
      <c r="V57" s="38"/>
      <c r="W57" s="39"/>
      <c r="X57" s="39"/>
    </row>
    <row r="58" spans="2:24" ht="13.5" customHeight="1" thickBot="1">
      <c r="B58" s="1066"/>
      <c r="C58" s="184"/>
      <c r="D58" s="262"/>
      <c r="E58" s="262"/>
      <c r="F58" s="263"/>
      <c r="G58" s="465">
        <v>0</v>
      </c>
      <c r="H58" s="223">
        <f t="shared" si="2"/>
        <v>0</v>
      </c>
      <c r="I58" s="452">
        <v>0</v>
      </c>
      <c r="J58" s="264">
        <v>0</v>
      </c>
      <c r="K58" s="265">
        <f t="shared" si="4"/>
        <v>0</v>
      </c>
      <c r="L58" s="1047"/>
      <c r="M58" s="32"/>
      <c r="N58" s="36"/>
      <c r="O58" s="36"/>
      <c r="P58" s="23"/>
      <c r="Q58" s="23"/>
      <c r="R58" s="23"/>
      <c r="S58" s="37"/>
      <c r="T58" s="37"/>
      <c r="U58" s="38"/>
      <c r="V58" s="38"/>
      <c r="W58" s="39"/>
      <c r="X58" s="39"/>
    </row>
    <row r="59" spans="2:24" ht="16.5" thickBot="1">
      <c r="B59" s="29"/>
      <c r="C59" s="45"/>
      <c r="D59" s="45"/>
      <c r="E59" s="46"/>
      <c r="F59" s="46"/>
      <c r="G59" s="46"/>
      <c r="H59" s="46"/>
      <c r="I59" s="46"/>
      <c r="J59" s="46"/>
      <c r="K59" s="462" t="s">
        <v>94</v>
      </c>
      <c r="L59" s="179">
        <f>SUM(L11:L58)</f>
        <v>180058701.24800003</v>
      </c>
      <c r="M59" s="30"/>
      <c r="N59" s="30"/>
      <c r="O59" s="30"/>
      <c r="P59" s="36"/>
      <c r="Q59" s="36"/>
      <c r="R59" s="36"/>
      <c r="S59" s="37"/>
      <c r="T59" s="37"/>
      <c r="U59" s="38"/>
      <c r="V59" s="38"/>
      <c r="W59" s="39"/>
      <c r="X59" s="39"/>
    </row>
    <row r="60" spans="2:24" ht="12.75">
      <c r="B60" s="29"/>
      <c r="C60" s="45"/>
      <c r="D60" s="45"/>
      <c r="E60" s="46"/>
      <c r="F60" s="46"/>
      <c r="G60" s="46"/>
      <c r="H60" s="46"/>
      <c r="I60" s="46"/>
      <c r="J60" s="46"/>
      <c r="K60" s="40"/>
      <c r="L60" s="40"/>
      <c r="M60" s="30"/>
      <c r="N60" s="30"/>
      <c r="O60" s="30"/>
      <c r="P60" s="36"/>
      <c r="Q60" s="36"/>
      <c r="R60" s="36"/>
      <c r="S60" s="37"/>
      <c r="T60" s="37"/>
      <c r="U60" s="38"/>
      <c r="V60" s="38"/>
      <c r="W60" s="39"/>
      <c r="X60" s="39"/>
    </row>
    <row r="61" spans="2:24" ht="12.75">
      <c r="B61" s="29"/>
      <c r="C61" s="29"/>
      <c r="D61" s="29"/>
      <c r="E61" s="29"/>
      <c r="F61" s="29"/>
      <c r="G61" s="29"/>
      <c r="H61" s="29"/>
      <c r="I61" s="29"/>
      <c r="J61" s="29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8"/>
      <c r="V61" s="38"/>
      <c r="W61" s="39"/>
      <c r="X61" s="39"/>
    </row>
    <row r="62" spans="2:24" ht="12.75">
      <c r="B62" s="29"/>
      <c r="C62" s="29"/>
      <c r="D62" s="29"/>
      <c r="E62" s="29"/>
      <c r="F62" s="29"/>
      <c r="G62" s="29"/>
      <c r="H62" s="29"/>
      <c r="I62" s="29"/>
      <c r="J62" s="29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8"/>
      <c r="V62" s="38"/>
      <c r="W62" s="39"/>
      <c r="X62" s="39"/>
    </row>
    <row r="63" spans="2:24" ht="12.75">
      <c r="B63" s="29"/>
      <c r="C63" s="29"/>
      <c r="D63" s="29"/>
      <c r="E63" s="29"/>
      <c r="F63" s="29"/>
      <c r="G63" s="29"/>
      <c r="H63" s="29"/>
      <c r="I63" s="29"/>
      <c r="J63" s="29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8"/>
      <c r="V63" s="38"/>
      <c r="W63" s="39"/>
      <c r="X63" s="39"/>
    </row>
    <row r="64" spans="2:24" ht="12.75">
      <c r="B64" s="29"/>
      <c r="C64" s="29"/>
      <c r="D64" s="29"/>
      <c r="E64" s="29"/>
      <c r="F64" s="29"/>
      <c r="G64" s="29"/>
      <c r="H64" s="29"/>
      <c r="I64" s="29"/>
      <c r="J64" s="29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8"/>
      <c r="V64" s="38"/>
      <c r="W64" s="39"/>
      <c r="X64" s="39"/>
    </row>
    <row r="65" spans="2:24" ht="12.75">
      <c r="B65" s="29"/>
      <c r="C65" s="29"/>
      <c r="D65" s="29"/>
      <c r="E65" s="29"/>
      <c r="F65" s="29"/>
      <c r="G65" s="29"/>
      <c r="H65" s="29"/>
      <c r="I65" s="29"/>
      <c r="J65" s="29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8"/>
      <c r="V65" s="38"/>
      <c r="W65" s="39"/>
      <c r="X65" s="39"/>
    </row>
    <row r="66" spans="2:24" ht="12.75">
      <c r="B66" s="29"/>
      <c r="C66" s="29"/>
      <c r="D66" s="29"/>
      <c r="E66" s="29"/>
      <c r="F66" s="29"/>
      <c r="G66" s="29"/>
      <c r="H66" s="29"/>
      <c r="I66" s="29"/>
      <c r="J66" s="29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8"/>
      <c r="V66" s="38"/>
      <c r="W66" s="39"/>
      <c r="X66" s="39"/>
    </row>
  </sheetData>
  <sheetProtection password="8D26" sheet="1"/>
  <mergeCells count="33">
    <mergeCell ref="L44:L58"/>
    <mergeCell ref="T28:W28"/>
    <mergeCell ref="B29:B43"/>
    <mergeCell ref="L29:L43"/>
    <mergeCell ref="G27:G28"/>
    <mergeCell ref="H27:H28"/>
    <mergeCell ref="I27:I28"/>
    <mergeCell ref="J27:J28"/>
    <mergeCell ref="B7:E7"/>
    <mergeCell ref="B9:B10"/>
    <mergeCell ref="C9:C10"/>
    <mergeCell ref="D9:D10"/>
    <mergeCell ref="E9:E10"/>
    <mergeCell ref="B44:B58"/>
    <mergeCell ref="B19:B26"/>
    <mergeCell ref="K9:K10"/>
    <mergeCell ref="L9:L10"/>
    <mergeCell ref="T10:W10"/>
    <mergeCell ref="B11:B18"/>
    <mergeCell ref="L11:L18"/>
    <mergeCell ref="F9:F10"/>
    <mergeCell ref="G9:G10"/>
    <mergeCell ref="H9:H10"/>
    <mergeCell ref="I9:I10"/>
    <mergeCell ref="J9:J10"/>
    <mergeCell ref="L19:L26"/>
    <mergeCell ref="K27:K28"/>
    <mergeCell ref="L27:L28"/>
    <mergeCell ref="B27:B28"/>
    <mergeCell ref="C27:C28"/>
    <mergeCell ref="D27:D28"/>
    <mergeCell ref="E27:E28"/>
    <mergeCell ref="F27:F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S25"/>
  <sheetViews>
    <sheetView showGridLines="0" zoomScale="80" zoomScaleNormal="80" zoomScalePageLayoutView="0" workbookViewId="0" topLeftCell="A1">
      <selection activeCell="J28" sqref="J28"/>
    </sheetView>
  </sheetViews>
  <sheetFormatPr defaultColWidth="10.7109375" defaultRowHeight="12.75"/>
  <cols>
    <col min="1" max="1" width="33.00390625" style="4" customWidth="1"/>
    <col min="2" max="2" width="33.00390625" style="10" bestFit="1" customWidth="1"/>
    <col min="3" max="12" width="14.7109375" style="10" customWidth="1"/>
    <col min="13" max="13" width="33.57421875" style="4" bestFit="1" customWidth="1"/>
    <col min="14" max="14" width="14.7109375" style="10" customWidth="1"/>
    <col min="15" max="15" width="33.57421875" style="4" bestFit="1" customWidth="1"/>
    <col min="16" max="16" width="14.7109375" style="10" customWidth="1"/>
    <col min="17" max="17" width="14.28125" style="4" customWidth="1"/>
    <col min="18" max="16384" width="10.7109375" style="4" customWidth="1"/>
  </cols>
  <sheetData>
    <row r="1" spans="2:16" ht="12.75">
      <c r="B1" s="44"/>
      <c r="C1" s="44"/>
      <c r="D1" s="44" t="s">
        <v>209</v>
      </c>
      <c r="E1" s="44"/>
      <c r="F1" s="44"/>
      <c r="G1" s="44"/>
      <c r="H1" s="44"/>
      <c r="I1" s="44"/>
      <c r="J1" s="44"/>
      <c r="K1" s="44"/>
      <c r="L1" s="44"/>
      <c r="M1" s="44"/>
      <c r="N1" s="44"/>
      <c r="P1" s="44"/>
    </row>
    <row r="2" spans="2:16" ht="12.75">
      <c r="B2" s="44"/>
      <c r="C2" s="44"/>
      <c r="D2" s="44" t="s">
        <v>201</v>
      </c>
      <c r="E2" s="44"/>
      <c r="F2" s="44"/>
      <c r="G2" s="44"/>
      <c r="H2" s="44"/>
      <c r="I2" s="44"/>
      <c r="J2" s="44"/>
      <c r="K2" s="44"/>
      <c r="L2" s="44"/>
      <c r="M2" s="44"/>
      <c r="N2" s="44"/>
      <c r="P2" s="44"/>
    </row>
    <row r="3" spans="3:16" ht="12.75">
      <c r="C3" s="17"/>
      <c r="D3" s="17"/>
      <c r="E3" s="17"/>
      <c r="F3" s="17"/>
      <c r="G3" s="17"/>
      <c r="H3" s="17"/>
      <c r="I3" s="17"/>
      <c r="J3" s="17"/>
      <c r="K3" s="17"/>
      <c r="L3" s="17"/>
      <c r="N3" s="17"/>
      <c r="P3" s="17"/>
    </row>
    <row r="4" spans="3:16" ht="18.75" customHeight="1">
      <c r="C4" s="21" t="s">
        <v>0</v>
      </c>
      <c r="D4" s="1079" t="str">
        <f>+'B) Reajuste Tarifas y Ocupación'!F5</f>
        <v>(DEPTO./DELEG.)</v>
      </c>
      <c r="E4" s="1080"/>
      <c r="F4" s="1081"/>
      <c r="G4" s="100"/>
      <c r="H4" s="100"/>
      <c r="I4" s="100"/>
      <c r="J4" s="100"/>
      <c r="K4" s="100"/>
      <c r="L4" s="100"/>
      <c r="N4" s="100"/>
      <c r="P4" s="100"/>
    </row>
    <row r="5" spans="1:16" ht="12.75">
      <c r="A5" s="9"/>
      <c r="B5" s="22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P5" s="100"/>
    </row>
    <row r="6" spans="1:16" ht="12.75">
      <c r="A6" s="9"/>
      <c r="B6" s="22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P6" s="100"/>
    </row>
    <row r="7" spans="1:16" ht="12.75" customHeight="1">
      <c r="A7" s="1084" t="s">
        <v>129</v>
      </c>
      <c r="B7" s="1085"/>
      <c r="C7" s="1085"/>
      <c r="D7" s="1085"/>
      <c r="E7" s="1085"/>
      <c r="F7" s="1085"/>
      <c r="G7" s="1085"/>
      <c r="H7" s="1085"/>
      <c r="I7" s="1085"/>
      <c r="J7" s="1085"/>
      <c r="K7" s="1085"/>
      <c r="L7" s="1085"/>
      <c r="M7" s="1085"/>
      <c r="N7" s="1085"/>
      <c r="O7" s="1086"/>
      <c r="P7" s="66"/>
    </row>
    <row r="8" spans="1:16" ht="12.75">
      <c r="A8" s="1087"/>
      <c r="B8" s="1088"/>
      <c r="C8" s="1088"/>
      <c r="D8" s="1088"/>
      <c r="E8" s="1088"/>
      <c r="F8" s="1088"/>
      <c r="G8" s="1088"/>
      <c r="H8" s="1088"/>
      <c r="I8" s="1088"/>
      <c r="J8" s="1088"/>
      <c r="K8" s="1088"/>
      <c r="L8" s="1088"/>
      <c r="M8" s="1088"/>
      <c r="N8" s="1088"/>
      <c r="O8" s="1089"/>
      <c r="P8" s="66"/>
    </row>
    <row r="9" spans="1:16" ht="12.75">
      <c r="A9" s="1090"/>
      <c r="B9" s="1091"/>
      <c r="C9" s="1091"/>
      <c r="D9" s="1091"/>
      <c r="E9" s="1091"/>
      <c r="F9" s="1091"/>
      <c r="G9" s="1091"/>
      <c r="H9" s="1091"/>
      <c r="I9" s="1091"/>
      <c r="J9" s="1091"/>
      <c r="K9" s="1091"/>
      <c r="L9" s="1091"/>
      <c r="M9" s="1091"/>
      <c r="N9" s="1091"/>
      <c r="O9" s="1092"/>
      <c r="P9" s="66"/>
    </row>
    <row r="10" spans="1:16" ht="12.7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</row>
    <row r="11" spans="1:16" ht="12.7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</row>
    <row r="12" spans="1:16" ht="15.75">
      <c r="A12" s="1038" t="s">
        <v>162</v>
      </c>
      <c r="B12" s="1038"/>
      <c r="C12" s="1038"/>
      <c r="D12" s="1038"/>
      <c r="E12" s="200"/>
      <c r="F12" s="58"/>
      <c r="G12" s="58"/>
      <c r="H12" s="58"/>
      <c r="I12" s="57"/>
      <c r="J12" s="57"/>
      <c r="K12" s="58"/>
      <c r="L12" s="58"/>
      <c r="M12" s="58"/>
      <c r="N12" s="58"/>
      <c r="O12" s="58"/>
      <c r="P12" s="58"/>
    </row>
    <row r="13" spans="1:16" ht="13.5" thickBot="1">
      <c r="A13" s="9"/>
      <c r="B13" s="22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P13" s="100"/>
    </row>
    <row r="14" spans="1:17" ht="20.25" customHeight="1">
      <c r="A14" s="1102" t="s">
        <v>135</v>
      </c>
      <c r="B14" s="1075" t="s">
        <v>5</v>
      </c>
      <c r="C14" s="914" t="s">
        <v>235</v>
      </c>
      <c r="D14" s="915"/>
      <c r="E14" s="915"/>
      <c r="F14" s="915"/>
      <c r="G14" s="931"/>
      <c r="H14" s="1093" t="s">
        <v>143</v>
      </c>
      <c r="I14" s="1094"/>
      <c r="J14" s="1094"/>
      <c r="K14" s="1094"/>
      <c r="L14" s="1095"/>
      <c r="M14" s="1104" t="s">
        <v>110</v>
      </c>
      <c r="N14" s="1105"/>
      <c r="O14" s="1082" t="s">
        <v>111</v>
      </c>
      <c r="P14" s="1083"/>
      <c r="Q14" s="1077" t="s">
        <v>130</v>
      </c>
    </row>
    <row r="15" spans="1:17" ht="74.25" customHeight="1" thickBot="1">
      <c r="A15" s="1103"/>
      <c r="B15" s="1076"/>
      <c r="C15" s="229" t="s">
        <v>86</v>
      </c>
      <c r="D15" s="230" t="s">
        <v>137</v>
      </c>
      <c r="E15" s="230" t="s">
        <v>138</v>
      </c>
      <c r="F15" s="230" t="s">
        <v>87</v>
      </c>
      <c r="G15" s="231" t="s">
        <v>88</v>
      </c>
      <c r="H15" s="133" t="s">
        <v>86</v>
      </c>
      <c r="I15" s="240" t="s">
        <v>137</v>
      </c>
      <c r="J15" s="240" t="s">
        <v>138</v>
      </c>
      <c r="K15" s="240" t="s">
        <v>87</v>
      </c>
      <c r="L15" s="241" t="s">
        <v>88</v>
      </c>
      <c r="M15" s="242" t="s">
        <v>72</v>
      </c>
      <c r="N15" s="185" t="s">
        <v>85</v>
      </c>
      <c r="O15" s="243" t="s">
        <v>72</v>
      </c>
      <c r="P15" s="185" t="s">
        <v>85</v>
      </c>
      <c r="Q15" s="1078"/>
    </row>
    <row r="16" spans="1:19" ht="12.75" customHeight="1">
      <c r="A16" s="1099" t="str">
        <f>'B) Reajuste Tarifas y Ocupación'!A12</f>
        <v>Jardín Infantil Tortuguita Marina</v>
      </c>
      <c r="B16" s="244" t="str">
        <f>+'B) Reajuste Tarifas y Ocupación'!B12</f>
        <v>Media jornada</v>
      </c>
      <c r="C16" s="129">
        <f>+'B) Reajuste Tarifas y Ocupación'!M12</f>
        <v>61300</v>
      </c>
      <c r="D16" s="245">
        <f>+'B) Reajuste Tarifas y Ocupación'!N12</f>
        <v>73500</v>
      </c>
      <c r="E16" s="245">
        <f>+'B) Reajuste Tarifas y Ocupación'!O12</f>
        <v>73500</v>
      </c>
      <c r="F16" s="245">
        <f>+'B) Reajuste Tarifas y Ocupación'!P12</f>
        <v>83700</v>
      </c>
      <c r="G16" s="246">
        <f>+'B) Reajuste Tarifas y Ocupación'!Q12</f>
        <v>106500</v>
      </c>
      <c r="H16" s="134">
        <f aca="true" t="shared" si="0" ref="H16:L19">_xlfn.IFERROR(C16/$Q16,0)</f>
        <v>0.365424739195231</v>
      </c>
      <c r="I16" s="247">
        <f t="shared" si="0"/>
        <v>0.43815201192250375</v>
      </c>
      <c r="J16" s="247">
        <f t="shared" si="0"/>
        <v>0.43815201192250375</v>
      </c>
      <c r="K16" s="247">
        <f t="shared" si="0"/>
        <v>0.49895678092399404</v>
      </c>
      <c r="L16" s="248">
        <f t="shared" si="0"/>
        <v>0.6348733233979136</v>
      </c>
      <c r="M16" s="632" t="s">
        <v>437</v>
      </c>
      <c r="N16" s="249">
        <f>160000*1.1</f>
        <v>176000</v>
      </c>
      <c r="O16" s="632" t="s">
        <v>438</v>
      </c>
      <c r="P16" s="249">
        <f>145000*1.1</f>
        <v>159500</v>
      </c>
      <c r="Q16" s="130">
        <f>AVERAGE(N16,P16)</f>
        <v>167750</v>
      </c>
      <c r="R16" s="23"/>
      <c r="S16" s="24"/>
    </row>
    <row r="17" spans="1:19" ht="13.5" thickBot="1">
      <c r="A17" s="1100"/>
      <c r="B17" s="131" t="str">
        <f>+'B) Reajuste Tarifas y Ocupación'!B13</f>
        <v>Doble Jornada </v>
      </c>
      <c r="C17" s="318">
        <f>+'B) Reajuste Tarifas y Ocupación'!M13</f>
        <v>78000</v>
      </c>
      <c r="D17" s="319">
        <f>+'B) Reajuste Tarifas y Ocupación'!N13</f>
        <v>93500</v>
      </c>
      <c r="E17" s="319">
        <f>+'B) Reajuste Tarifas y Ocupación'!O13</f>
        <v>93500</v>
      </c>
      <c r="F17" s="319">
        <f>+'B) Reajuste Tarifas y Ocupación'!P13</f>
        <v>117000</v>
      </c>
      <c r="G17" s="320">
        <f>+'B) Reajuste Tarifas y Ocupación'!Q13</f>
        <v>155900</v>
      </c>
      <c r="H17" s="186">
        <f t="shared" si="0"/>
        <v>0.3186925434116445</v>
      </c>
      <c r="I17" s="187">
        <f t="shared" si="0"/>
        <v>0.3820224719101123</v>
      </c>
      <c r="J17" s="187">
        <f t="shared" si="0"/>
        <v>0.3820224719101123</v>
      </c>
      <c r="K17" s="187">
        <f t="shared" si="0"/>
        <v>0.47803881511746676</v>
      </c>
      <c r="L17" s="188">
        <f t="shared" si="0"/>
        <v>0.636976506639428</v>
      </c>
      <c r="M17" s="184" t="s">
        <v>437</v>
      </c>
      <c r="N17" s="183">
        <f>215000*1.1</f>
        <v>236500.00000000003</v>
      </c>
      <c r="O17" s="184" t="s">
        <v>438</v>
      </c>
      <c r="P17" s="183">
        <f>230000*1.1</f>
        <v>253000.00000000003</v>
      </c>
      <c r="Q17" s="207">
        <f>AVERAGE(N17,P17)</f>
        <v>244750.00000000003</v>
      </c>
      <c r="R17" s="23"/>
      <c r="S17" s="24"/>
    </row>
    <row r="18" spans="1:19" ht="12.75">
      <c r="A18" s="1099" t="str">
        <f>'B) Reajuste Tarifas y Ocupación'!A14</f>
        <v>Jardín Infantil Burbujitas de Mar</v>
      </c>
      <c r="B18" s="244" t="str">
        <f>+'B) Reajuste Tarifas y Ocupación'!B14</f>
        <v>Media jornada</v>
      </c>
      <c r="C18" s="129">
        <f>+'B) Reajuste Tarifas y Ocupación'!M14</f>
        <v>86300</v>
      </c>
      <c r="D18" s="245">
        <f>+'B) Reajuste Tarifas y Ocupación'!N14</f>
        <v>103600</v>
      </c>
      <c r="E18" s="245">
        <f>+'B) Reajuste Tarifas y Ocupación'!O14</f>
        <v>103600</v>
      </c>
      <c r="F18" s="245">
        <f>+'B) Reajuste Tarifas y Ocupación'!P14</f>
        <v>107900</v>
      </c>
      <c r="G18" s="321">
        <f>+'B) Reajuste Tarifas y Ocupación'!Q14</f>
        <v>129400</v>
      </c>
      <c r="H18" s="316">
        <f t="shared" si="0"/>
        <v>0.5144560357675112</v>
      </c>
      <c r="I18" s="247">
        <f t="shared" si="0"/>
        <v>0.617585692995529</v>
      </c>
      <c r="J18" s="247">
        <f t="shared" si="0"/>
        <v>0.617585692995529</v>
      </c>
      <c r="K18" s="247">
        <f t="shared" si="0"/>
        <v>0.6432190760059613</v>
      </c>
      <c r="L18" s="248">
        <f t="shared" si="0"/>
        <v>0.7713859910581222</v>
      </c>
      <c r="M18" s="632" t="s">
        <v>437</v>
      </c>
      <c r="N18" s="249">
        <f>160000*1.1</f>
        <v>176000</v>
      </c>
      <c r="O18" s="632" t="s">
        <v>438</v>
      </c>
      <c r="P18" s="249">
        <f>145000*1.1</f>
        <v>159500</v>
      </c>
      <c r="Q18" s="130">
        <f>AVERAGE(N18,P18)</f>
        <v>167750</v>
      </c>
      <c r="R18" s="23"/>
      <c r="S18" s="24"/>
    </row>
    <row r="19" spans="1:19" ht="13.5" thickBot="1">
      <c r="A19" s="1100"/>
      <c r="B19" s="131" t="str">
        <f>+'B) Reajuste Tarifas y Ocupación'!B15</f>
        <v>Jornada  Completa</v>
      </c>
      <c r="C19" s="305">
        <f>+'B) Reajuste Tarifas y Ocupación'!M15</f>
        <v>136600</v>
      </c>
      <c r="D19" s="292">
        <f>+'B) Reajuste Tarifas y Ocupación'!N15</f>
        <v>163900</v>
      </c>
      <c r="E19" s="292">
        <f>+'B) Reajuste Tarifas y Ocupación'!O15</f>
        <v>163900</v>
      </c>
      <c r="F19" s="292">
        <f>+'B) Reajuste Tarifas y Ocupación'!P15</f>
        <v>170800</v>
      </c>
      <c r="G19" s="306">
        <f>+'B) Reajuste Tarifas y Ocupación'!Q15</f>
        <v>204900</v>
      </c>
      <c r="H19" s="317">
        <f t="shared" si="0"/>
        <v>0.558120531154239</v>
      </c>
      <c r="I19" s="187">
        <f t="shared" si="0"/>
        <v>0.6696629213483145</v>
      </c>
      <c r="J19" s="187">
        <f t="shared" si="0"/>
        <v>0.6696629213483145</v>
      </c>
      <c r="K19" s="187">
        <f t="shared" si="0"/>
        <v>0.6978549540347292</v>
      </c>
      <c r="L19" s="188">
        <f t="shared" si="0"/>
        <v>0.8371807967313585</v>
      </c>
      <c r="M19" s="184" t="s">
        <v>437</v>
      </c>
      <c r="N19" s="183">
        <f>215000*1.1</f>
        <v>236500.00000000003</v>
      </c>
      <c r="O19" s="184" t="s">
        <v>438</v>
      </c>
      <c r="P19" s="183">
        <f>230000*1.1</f>
        <v>253000.00000000003</v>
      </c>
      <c r="Q19" s="207">
        <f>AVERAGE(N19,P19)</f>
        <v>244750.00000000003</v>
      </c>
      <c r="R19" s="23"/>
      <c r="S19" s="24"/>
    </row>
    <row r="20" spans="1:17" ht="12.75" customHeight="1" thickBot="1">
      <c r="A20" s="10"/>
      <c r="M20" s="10"/>
      <c r="O20" s="10"/>
      <c r="Q20" s="10"/>
    </row>
    <row r="21" spans="1:17" ht="20.25" customHeight="1">
      <c r="A21" s="1102" t="s">
        <v>136</v>
      </c>
      <c r="B21" s="1075" t="s">
        <v>5</v>
      </c>
      <c r="C21" s="914" t="s">
        <v>235</v>
      </c>
      <c r="D21" s="915"/>
      <c r="E21" s="915"/>
      <c r="F21" s="915"/>
      <c r="G21" s="931"/>
      <c r="H21" s="1093" t="s">
        <v>143</v>
      </c>
      <c r="I21" s="1094"/>
      <c r="J21" s="1094"/>
      <c r="K21" s="1094"/>
      <c r="L21" s="1095"/>
      <c r="M21" s="1096" t="s">
        <v>110</v>
      </c>
      <c r="N21" s="1097"/>
      <c r="O21" s="1098" t="s">
        <v>111</v>
      </c>
      <c r="P21" s="1097"/>
      <c r="Q21" s="1073" t="s">
        <v>130</v>
      </c>
    </row>
    <row r="22" spans="1:17" ht="71.25" customHeight="1" thickBot="1">
      <c r="A22" s="1103"/>
      <c r="B22" s="1076"/>
      <c r="C22" s="229" t="s">
        <v>86</v>
      </c>
      <c r="D22" s="230" t="s">
        <v>137</v>
      </c>
      <c r="E22" s="230" t="s">
        <v>138</v>
      </c>
      <c r="F22" s="230" t="s">
        <v>87</v>
      </c>
      <c r="G22" s="231" t="s">
        <v>88</v>
      </c>
      <c r="H22" s="136" t="s">
        <v>86</v>
      </c>
      <c r="I22" s="252" t="s">
        <v>137</v>
      </c>
      <c r="J22" s="240" t="s">
        <v>138</v>
      </c>
      <c r="K22" s="252" t="s">
        <v>87</v>
      </c>
      <c r="L22" s="253" t="s">
        <v>88</v>
      </c>
      <c r="M22" s="208" t="s">
        <v>72</v>
      </c>
      <c r="N22" s="176" t="s">
        <v>85</v>
      </c>
      <c r="O22" s="209" t="s">
        <v>72</v>
      </c>
      <c r="P22" s="176" t="s">
        <v>85</v>
      </c>
      <c r="Q22" s="1074"/>
    </row>
    <row r="23" spans="1:17" ht="12.75" customHeight="1">
      <c r="A23" s="1101" t="str">
        <f>'B) Reajuste Tarifas y Ocupación'!A19</f>
        <v>Sala Cuna Burbujitas de Mar</v>
      </c>
      <c r="B23" s="254" t="str">
        <f>+'B) Reajuste Tarifas y Ocupación'!B19</f>
        <v>Jornada Completa Diurna</v>
      </c>
      <c r="C23" s="129">
        <f>+'B) Reajuste Tarifas y Ocupación'!M19</f>
        <v>327700</v>
      </c>
      <c r="D23" s="245">
        <f>+'B) Reajuste Tarifas y Ocupación'!N19</f>
        <v>393300</v>
      </c>
      <c r="E23" s="245">
        <f>+'B) Reajuste Tarifas y Ocupación'!O19</f>
        <v>393300</v>
      </c>
      <c r="F23" s="245">
        <f>+'B) Reajuste Tarifas y Ocupación'!P19</f>
        <v>409600</v>
      </c>
      <c r="G23" s="246">
        <f>+'B) Reajuste Tarifas y Ocupación'!Q19</f>
        <v>491600</v>
      </c>
      <c r="H23" s="134">
        <f>_xlfn.IFERROR(C23/$Q23,0)</f>
        <v>0.8959671907040326</v>
      </c>
      <c r="I23" s="255">
        <f>_xlfn.IFERROR(D23/$Q23,0)</f>
        <v>1.0753246753246752</v>
      </c>
      <c r="J23" s="255">
        <f>_xlfn.IFERROR(E23/$Q23,0)</f>
        <v>1.0753246753246752</v>
      </c>
      <c r="K23" s="255">
        <f>_xlfn.IFERROR(F23/$Q23,0)</f>
        <v>1.1198906356801093</v>
      </c>
      <c r="L23" s="256">
        <f>_xlfn.IFERROR(G23/$Q23,0)</f>
        <v>1.3440874914559122</v>
      </c>
      <c r="M23" s="257" t="s">
        <v>439</v>
      </c>
      <c r="N23" s="249">
        <f>330000*1.1</f>
        <v>363000.00000000006</v>
      </c>
      <c r="O23" s="632" t="s">
        <v>440</v>
      </c>
      <c r="P23" s="249">
        <f>335000*1.1</f>
        <v>368500.00000000006</v>
      </c>
      <c r="Q23" s="258">
        <f>AVERAGE(N23,P23)</f>
        <v>365750.00000000006</v>
      </c>
    </row>
    <row r="24" spans="1:17" ht="12.75" customHeight="1">
      <c r="A24" s="1099"/>
      <c r="B24" s="244" t="str">
        <f>+'B) Reajuste Tarifas y Ocupación'!B20</f>
        <v>Nocturna</v>
      </c>
      <c r="C24" s="259">
        <f>+'B) Reajuste Tarifas y Ocupación'!M20</f>
        <v>264300</v>
      </c>
      <c r="D24" s="519"/>
      <c r="E24" s="519"/>
      <c r="F24" s="519"/>
      <c r="G24" s="520"/>
      <c r="H24" s="135">
        <f>_xlfn.IFERROR(C24/$Q24,0)</f>
        <v>0</v>
      </c>
      <c r="I24" s="521"/>
      <c r="J24" s="521"/>
      <c r="K24" s="521"/>
      <c r="L24" s="522"/>
      <c r="M24" s="181"/>
      <c r="N24" s="633">
        <v>0</v>
      </c>
      <c r="O24" s="463"/>
      <c r="P24" s="633">
        <v>0</v>
      </c>
      <c r="Q24" s="260">
        <f>AVERAGE(N24,P24)</f>
        <v>0</v>
      </c>
    </row>
    <row r="25" spans="1:17" ht="12.75" customHeight="1" thickBot="1">
      <c r="A25" s="1100"/>
      <c r="B25" s="131" t="str">
        <f>+'B) Reajuste Tarifas y Ocupación'!B21</f>
        <v>Media Jornada</v>
      </c>
      <c r="C25" s="250">
        <f>+'B) Reajuste Tarifas y Ocupación'!M21</f>
        <v>196700</v>
      </c>
      <c r="D25" s="251">
        <f>+'B) Reajuste Tarifas y Ocupación'!N21</f>
        <v>236000</v>
      </c>
      <c r="E25" s="251">
        <f>+'B) Reajuste Tarifas y Ocupación'!O21</f>
        <v>236000</v>
      </c>
      <c r="F25" s="251">
        <f>+'B) Reajuste Tarifas y Ocupación'!P21</f>
        <v>295000</v>
      </c>
      <c r="G25" s="132">
        <f>+'B) Reajuste Tarifas y Ocupación'!Q21</f>
        <v>393300</v>
      </c>
      <c r="H25" s="186">
        <f>_xlfn.IFERROR(C25/$Q25,0)</f>
        <v>0.9934343434343433</v>
      </c>
      <c r="I25" s="187">
        <f>_xlfn.IFERROR(D25/$Q25,0)</f>
        <v>1.1919191919191918</v>
      </c>
      <c r="J25" s="187">
        <f>_xlfn.IFERROR(E25/$Q25,0)</f>
        <v>1.1919191919191918</v>
      </c>
      <c r="K25" s="187">
        <f>_xlfn.IFERROR(F25/$Q25,0)</f>
        <v>1.4898989898989896</v>
      </c>
      <c r="L25" s="180">
        <f>_xlfn.IFERROR(G25/$Q25,0)</f>
        <v>1.986363636363636</v>
      </c>
      <c r="M25" s="182" t="s">
        <v>439</v>
      </c>
      <c r="N25" s="183">
        <f>180000*1.1</f>
        <v>198000.00000000003</v>
      </c>
      <c r="O25" s="184" t="s">
        <v>440</v>
      </c>
      <c r="P25" s="183">
        <f>180000*1.1</f>
        <v>198000.00000000003</v>
      </c>
      <c r="Q25" s="207">
        <f>AVERAGE(N25,P25)</f>
        <v>198000.00000000003</v>
      </c>
    </row>
  </sheetData>
  <sheetProtection sheet="1" objects="1" scenarios="1"/>
  <mergeCells count="20">
    <mergeCell ref="O21:P21"/>
    <mergeCell ref="A16:A17"/>
    <mergeCell ref="A18:A19"/>
    <mergeCell ref="A23:A25"/>
    <mergeCell ref="A21:A22"/>
    <mergeCell ref="A14:A15"/>
    <mergeCell ref="B14:B15"/>
    <mergeCell ref="M14:N14"/>
    <mergeCell ref="C14:G14"/>
    <mergeCell ref="H14:L14"/>
    <mergeCell ref="Q21:Q22"/>
    <mergeCell ref="B21:B22"/>
    <mergeCell ref="C21:G21"/>
    <mergeCell ref="Q14:Q15"/>
    <mergeCell ref="D4:F4"/>
    <mergeCell ref="O14:P14"/>
    <mergeCell ref="A7:O9"/>
    <mergeCell ref="A12:D12"/>
    <mergeCell ref="H21:L21"/>
    <mergeCell ref="M21:N21"/>
  </mergeCells>
  <printOptions/>
  <pageMargins left="0.7" right="0.7" top="0.75" bottom="0.75" header="0.5118055555555555" footer="0.5118055555555555"/>
  <pageSetup horizontalDpi="300" verticalDpi="3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cverall@armada.cl</dc:creator>
  <cp:keywords/>
  <dc:description/>
  <cp:lastModifiedBy>340 Loreto Mondaca</cp:lastModifiedBy>
  <cp:lastPrinted>2021-08-30T20:39:18Z</cp:lastPrinted>
  <dcterms:created xsi:type="dcterms:W3CDTF">2017-05-11T00:45:10Z</dcterms:created>
  <dcterms:modified xsi:type="dcterms:W3CDTF">2022-03-30T20:35:13Z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