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2\TRABAJADAS POR DEPTOS 2022\marzo 2022\FINALES MAR 2022\"/>
    </mc:Choice>
  </mc:AlternateContent>
  <xr:revisionPtr revIDLastSave="0" documentId="8_{F3B0600A-8C53-4D09-A857-302D4529AB47}" xr6:coauthVersionLast="46" xr6:coauthVersionMax="46" xr10:uidLastSave="{00000000-0000-0000-0000-000000000000}"/>
  <bookViews>
    <workbookView xWindow="-120" yWindow="-120" windowWidth="29040" windowHeight="15840" tabRatio="612" firstSheet="5" activeTab="11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Hoja1" sheetId="17" r:id="rId11"/>
    <sheet name="I) Proyección Mensual." sheetId="16" r:id="rId12"/>
  </sheets>
  <externalReferences>
    <externalReference r:id="rId13"/>
  </externalReference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F85" i="3" l="1"/>
  <c r="F20" i="3"/>
  <c r="J43" i="13" l="1"/>
  <c r="F84" i="3" l="1"/>
  <c r="F19" i="3"/>
  <c r="H16" i="12"/>
  <c r="K16" i="12" s="1"/>
  <c r="H26" i="12"/>
  <c r="K26" i="12" s="1"/>
  <c r="H17" i="12" l="1"/>
  <c r="K17" i="12" s="1"/>
  <c r="H21" i="12"/>
  <c r="K21" i="12" s="1"/>
  <c r="M33" i="3" l="1"/>
  <c r="F83" i="3"/>
  <c r="F21" i="3"/>
  <c r="V56" i="3" l="1"/>
  <c r="V55" i="3"/>
  <c r="M63" i="3"/>
  <c r="F73" i="9"/>
  <c r="F62" i="9"/>
  <c r="E95" i="9"/>
  <c r="V58" i="3" l="1"/>
  <c r="E126" i="9"/>
  <c r="F126" i="9" s="1"/>
  <c r="E125" i="9"/>
  <c r="F125" i="9" s="1"/>
  <c r="E124" i="9"/>
  <c r="F124" i="9" s="1"/>
  <c r="E122" i="9"/>
  <c r="F122" i="9" s="1"/>
  <c r="E121" i="9"/>
  <c r="F121" i="9" s="1"/>
  <c r="E120" i="9"/>
  <c r="F120" i="9" s="1"/>
  <c r="E119" i="9"/>
  <c r="F119" i="9" s="1"/>
  <c r="E118" i="9"/>
  <c r="F118" i="9" s="1"/>
  <c r="E117" i="9"/>
  <c r="F117" i="9" s="1"/>
  <c r="E115" i="9"/>
  <c r="F115" i="9" s="1"/>
  <c r="E114" i="9"/>
  <c r="E113" i="9"/>
  <c r="F113" i="9" s="1"/>
  <c r="E111" i="9"/>
  <c r="F111" i="9" s="1"/>
  <c r="E110" i="9"/>
  <c r="E109" i="9"/>
  <c r="F109" i="9" s="1"/>
  <c r="E108" i="9"/>
  <c r="F108" i="9" s="1"/>
  <c r="E107" i="9"/>
  <c r="E106" i="9"/>
  <c r="F106" i="9" s="1"/>
  <c r="E105" i="9"/>
  <c r="F105" i="9" s="1"/>
  <c r="E104" i="9"/>
  <c r="F104" i="9" s="1"/>
  <c r="E103" i="9"/>
  <c r="F103" i="9" s="1"/>
  <c r="F102" i="9"/>
  <c r="E100" i="9"/>
  <c r="F100" i="9" s="1"/>
  <c r="E99" i="9"/>
  <c r="F99" i="9" s="1"/>
  <c r="F95" i="9"/>
  <c r="E94" i="9"/>
  <c r="F94" i="9" s="1"/>
  <c r="F93" i="9"/>
  <c r="F91" i="9"/>
  <c r="F90" i="9"/>
  <c r="F89" i="9"/>
  <c r="E89" i="9"/>
  <c r="E80" i="9"/>
  <c r="F80" i="9" s="1"/>
  <c r="E78" i="9"/>
  <c r="F78" i="9" s="1"/>
  <c r="E76" i="9"/>
  <c r="F76" i="9" s="1"/>
  <c r="E75" i="9"/>
  <c r="F75" i="9" s="1"/>
  <c r="E74" i="9"/>
  <c r="F74" i="9" s="1"/>
  <c r="E72" i="9"/>
  <c r="F72" i="9" s="1"/>
  <c r="E71" i="9"/>
  <c r="F71" i="9" s="1"/>
  <c r="E69" i="9"/>
  <c r="F69" i="9" s="1"/>
  <c r="E68" i="9"/>
  <c r="E67" i="9"/>
  <c r="F67" i="9" s="1"/>
  <c r="E65" i="9"/>
  <c r="F65" i="9" s="1"/>
  <c r="E64" i="9"/>
  <c r="F63" i="9"/>
  <c r="E61" i="9"/>
  <c r="E60" i="9"/>
  <c r="F60" i="9" s="1"/>
  <c r="E59" i="9"/>
  <c r="F59" i="9" s="1"/>
  <c r="E58" i="9"/>
  <c r="F58" i="9" s="1"/>
  <c r="E57" i="9"/>
  <c r="F57" i="9" s="1"/>
  <c r="F56" i="9"/>
  <c r="E54" i="9"/>
  <c r="F54" i="9" s="1"/>
  <c r="E53" i="9"/>
  <c r="F53" i="9" s="1"/>
  <c r="E48" i="9"/>
  <c r="F48" i="9" s="1"/>
  <c r="E47" i="9"/>
  <c r="F47" i="9" s="1"/>
  <c r="E46" i="9"/>
  <c r="F46" i="9" s="1"/>
  <c r="F44" i="9"/>
  <c r="F43" i="9"/>
  <c r="F42" i="9"/>
  <c r="E42" i="9"/>
  <c r="E33" i="9"/>
  <c r="E32" i="9"/>
  <c r="E31" i="9"/>
  <c r="E30" i="9"/>
  <c r="E35" i="9" l="1"/>
  <c r="J23" i="16"/>
  <c r="B23" i="16"/>
  <c r="M23" i="16" l="1"/>
  <c r="J11" i="16"/>
  <c r="B11" i="16"/>
  <c r="H12" i="12"/>
  <c r="K12" i="12" s="1"/>
  <c r="H13" i="12"/>
  <c r="K13" i="12" s="1"/>
  <c r="H14" i="12"/>
  <c r="K14" i="12" s="1"/>
  <c r="H15" i="12"/>
  <c r="K15" i="12" s="1"/>
  <c r="H18" i="12"/>
  <c r="K18" i="12" s="1"/>
  <c r="H19" i="12"/>
  <c r="K19" i="12" s="1"/>
  <c r="H20" i="12"/>
  <c r="K20" i="12" s="1"/>
  <c r="H22" i="12"/>
  <c r="K22" i="12" s="1"/>
  <c r="H23" i="12"/>
  <c r="K23" i="12" s="1"/>
  <c r="H24" i="12"/>
  <c r="K24" i="12" s="1"/>
  <c r="K25" i="12"/>
  <c r="H27" i="12"/>
  <c r="K27" i="12" s="1"/>
  <c r="H28" i="12"/>
  <c r="K28" i="12" s="1"/>
  <c r="H29" i="12"/>
  <c r="K29" i="12" s="1"/>
  <c r="H11" i="12"/>
  <c r="K11" i="12" s="1"/>
  <c r="C18" i="16"/>
  <c r="D18" i="16"/>
  <c r="E18" i="16"/>
  <c r="F18" i="16"/>
  <c r="G18" i="16"/>
  <c r="H18" i="16"/>
  <c r="I18" i="16"/>
  <c r="J18" i="16"/>
  <c r="K18" i="16"/>
  <c r="L18" i="16"/>
  <c r="M18" i="16"/>
  <c r="B18" i="16"/>
  <c r="C6" i="16"/>
  <c r="D6" i="16"/>
  <c r="E6" i="16"/>
  <c r="F6" i="16"/>
  <c r="G6" i="16"/>
  <c r="H6" i="16"/>
  <c r="I6" i="16"/>
  <c r="J6" i="16"/>
  <c r="K6" i="16"/>
  <c r="L6" i="16"/>
  <c r="M6" i="16"/>
  <c r="B6" i="16"/>
  <c r="H23" i="7"/>
  <c r="I10" i="16" l="1"/>
  <c r="M10" i="16"/>
  <c r="E10" i="16"/>
  <c r="L10" i="16"/>
  <c r="H10" i="16"/>
  <c r="D10" i="16"/>
  <c r="K10" i="16"/>
  <c r="G10" i="16"/>
  <c r="C10" i="16"/>
  <c r="B10" i="16"/>
  <c r="J10" i="16"/>
  <c r="F10" i="16"/>
  <c r="M11" i="16"/>
  <c r="N11" i="16" s="1"/>
  <c r="C22" i="16"/>
  <c r="G22" i="16"/>
  <c r="K22" i="16"/>
  <c r="D22" i="16"/>
  <c r="L22" i="16"/>
  <c r="I22" i="16"/>
  <c r="F22" i="16"/>
  <c r="J22" i="16"/>
  <c r="B22" i="16"/>
  <c r="H22" i="16"/>
  <c r="E22" i="16"/>
  <c r="M22" i="16"/>
  <c r="N23" i="16"/>
  <c r="I17" i="7" l="1"/>
  <c r="N17" i="7" s="1"/>
  <c r="J17" i="7"/>
  <c r="O17" i="7" s="1"/>
  <c r="K17" i="7"/>
  <c r="P17" i="7" s="1"/>
  <c r="L17" i="7"/>
  <c r="Q17" i="7" s="1"/>
  <c r="M17" i="7" l="1"/>
  <c r="R15" i="5" l="1"/>
  <c r="S15" i="5"/>
  <c r="T15" i="5"/>
  <c r="U15" i="5"/>
  <c r="V15" i="5"/>
  <c r="R13" i="5"/>
  <c r="H15" i="5"/>
  <c r="I15" i="5"/>
  <c r="J15" i="5"/>
  <c r="K15" i="5"/>
  <c r="L15" i="5"/>
  <c r="H13" i="5"/>
  <c r="I13" i="5"/>
  <c r="J13" i="5"/>
  <c r="K13" i="5"/>
  <c r="L13" i="5"/>
  <c r="J15" i="7"/>
  <c r="O15" i="7" s="1"/>
  <c r="K15" i="7"/>
  <c r="U13" i="5" s="1"/>
  <c r="L15" i="7"/>
  <c r="M15" i="7"/>
  <c r="I15" i="7"/>
  <c r="N15" i="7" s="1"/>
  <c r="V13" i="5" l="1"/>
  <c r="Q15" i="7"/>
  <c r="T13" i="5"/>
  <c r="S13" i="5"/>
  <c r="P15" i="7"/>
  <c r="I37" i="2"/>
  <c r="I31" i="2"/>
  <c r="G138" i="3" l="1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H106" i="3" s="1"/>
  <c r="G105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H28" i="7"/>
  <c r="H26" i="7"/>
  <c r="J38" i="2"/>
  <c r="K38" i="2"/>
  <c r="F38" i="2" s="1"/>
  <c r="L38" i="2"/>
  <c r="G38" i="2" s="1"/>
  <c r="M38" i="2"/>
  <c r="I38" i="2"/>
  <c r="I39" i="2" s="1"/>
  <c r="J32" i="2"/>
  <c r="E32" i="2" s="1"/>
  <c r="K32" i="2"/>
  <c r="F32" i="2" s="1"/>
  <c r="L32" i="2"/>
  <c r="G32" i="2" s="1"/>
  <c r="M32" i="2"/>
  <c r="I32" i="2"/>
  <c r="H25" i="7"/>
  <c r="H24" i="7"/>
  <c r="M37" i="2"/>
  <c r="H37" i="2" s="1"/>
  <c r="L37" i="2"/>
  <c r="K37" i="2"/>
  <c r="F37" i="2" s="1"/>
  <c r="J37" i="2"/>
  <c r="E37" i="2" s="1"/>
  <c r="M31" i="2"/>
  <c r="H31" i="2" s="1"/>
  <c r="L31" i="2"/>
  <c r="G31" i="2" s="1"/>
  <c r="K31" i="2"/>
  <c r="J31" i="2"/>
  <c r="E31" i="2" s="1"/>
  <c r="M35" i="2"/>
  <c r="M36" i="2" s="1"/>
  <c r="L35" i="2"/>
  <c r="L36" i="2" s="1"/>
  <c r="K35" i="2"/>
  <c r="K36" i="2" s="1"/>
  <c r="J35" i="2"/>
  <c r="J36" i="2" s="1"/>
  <c r="I35" i="2"/>
  <c r="I36" i="2" s="1"/>
  <c r="D39" i="2"/>
  <c r="D36" i="2"/>
  <c r="E35" i="2"/>
  <c r="E36" i="2" s="1"/>
  <c r="D33" i="2"/>
  <c r="H35" i="2" l="1"/>
  <c r="H36" i="2" s="1"/>
  <c r="K33" i="2"/>
  <c r="L39" i="2"/>
  <c r="I28" i="7"/>
  <c r="F125" i="3" s="1"/>
  <c r="G125" i="3" s="1"/>
  <c r="H125" i="3" s="1"/>
  <c r="I25" i="7"/>
  <c r="H5" i="16" s="1"/>
  <c r="G111" i="3"/>
  <c r="G129" i="3"/>
  <c r="G77" i="3"/>
  <c r="G35" i="2"/>
  <c r="G36" i="2" s="1"/>
  <c r="G104" i="3"/>
  <c r="M33" i="2"/>
  <c r="F31" i="2"/>
  <c r="F33" i="2" s="1"/>
  <c r="J39" i="2"/>
  <c r="F35" i="2"/>
  <c r="F36" i="2" s="1"/>
  <c r="G33" i="2"/>
  <c r="M39" i="2"/>
  <c r="J33" i="2"/>
  <c r="F39" i="2"/>
  <c r="G37" i="2"/>
  <c r="G39" i="2" s="1"/>
  <c r="I33" i="2"/>
  <c r="G82" i="3"/>
  <c r="H105" i="3"/>
  <c r="H138" i="3"/>
  <c r="H137" i="3" s="1"/>
  <c r="E38" i="2"/>
  <c r="E39" i="2" s="1"/>
  <c r="H32" i="2"/>
  <c r="H33" i="2" s="1"/>
  <c r="L33" i="2"/>
  <c r="H38" i="2"/>
  <c r="H39" i="2" s="1"/>
  <c r="K39" i="2"/>
  <c r="E33" i="2"/>
  <c r="G76" i="3" l="1"/>
  <c r="O33" i="2"/>
  <c r="M17" i="16"/>
  <c r="D17" i="16"/>
  <c r="J17" i="16"/>
  <c r="L17" i="16"/>
  <c r="I17" i="16"/>
  <c r="K17" i="16"/>
  <c r="G17" i="16"/>
  <c r="G120" i="3"/>
  <c r="G103" i="3" s="1"/>
  <c r="H17" i="16"/>
  <c r="F17" i="16"/>
  <c r="E17" i="16"/>
  <c r="F5" i="16"/>
  <c r="K5" i="16"/>
  <c r="E5" i="16"/>
  <c r="G5" i="16"/>
  <c r="M5" i="16"/>
  <c r="I5" i="16"/>
  <c r="D5" i="16"/>
  <c r="F61" i="3"/>
  <c r="J5" i="16"/>
  <c r="L5" i="16"/>
  <c r="G139" i="3" l="1"/>
  <c r="G21" i="1"/>
  <c r="G19" i="1"/>
  <c r="D201" i="3"/>
  <c r="D193" i="3"/>
  <c r="D184" i="3"/>
  <c r="D175" i="3"/>
  <c r="D173" i="3"/>
  <c r="D172" i="3"/>
  <c r="D171" i="3"/>
  <c r="A19" i="1"/>
  <c r="B19" i="1"/>
  <c r="C19" i="1"/>
  <c r="Q19" i="1"/>
  <c r="B20" i="1"/>
  <c r="B21" i="1"/>
  <c r="C21" i="1"/>
  <c r="Q21" i="1"/>
  <c r="A13" i="5"/>
  <c r="B13" i="5"/>
  <c r="C13" i="5"/>
  <c r="M13" i="5" s="1"/>
  <c r="B14" i="5"/>
  <c r="B15" i="5"/>
  <c r="C15" i="5"/>
  <c r="M15" i="5" s="1"/>
  <c r="N14" i="3"/>
  <c r="D22" i="3" s="1"/>
  <c r="O14" i="3"/>
  <c r="D86" i="3" s="1"/>
  <c r="N15" i="3"/>
  <c r="D23" i="3" s="1"/>
  <c r="O15" i="3"/>
  <c r="D87" i="3" s="1"/>
  <c r="H87" i="3" s="1"/>
  <c r="N16" i="3"/>
  <c r="D24" i="3" s="1"/>
  <c r="O16" i="3"/>
  <c r="D88" i="3" s="1"/>
  <c r="H88" i="3" s="1"/>
  <c r="N17" i="3"/>
  <c r="D25" i="3" s="1"/>
  <c r="O17" i="3"/>
  <c r="D89" i="3" s="1"/>
  <c r="H89" i="3" s="1"/>
  <c r="N18" i="3"/>
  <c r="D26" i="3" s="1"/>
  <c r="O18" i="3"/>
  <c r="D90" i="3" s="1"/>
  <c r="H90" i="3" s="1"/>
  <c r="N19" i="3"/>
  <c r="D27" i="3" s="1"/>
  <c r="O19" i="3"/>
  <c r="D91" i="3" s="1"/>
  <c r="H91" i="3" s="1"/>
  <c r="N20" i="3"/>
  <c r="D28" i="3" s="1"/>
  <c r="O20" i="3"/>
  <c r="D92" i="3" s="1"/>
  <c r="H92" i="3" s="1"/>
  <c r="N21" i="3"/>
  <c r="D29" i="3" s="1"/>
  <c r="O21" i="3"/>
  <c r="D93" i="3" s="1"/>
  <c r="H93" i="3" s="1"/>
  <c r="N22" i="3"/>
  <c r="D30" i="3" s="1"/>
  <c r="O22" i="3"/>
  <c r="N23" i="3"/>
  <c r="D31" i="3" s="1"/>
  <c r="O23" i="3"/>
  <c r="D95" i="3" s="1"/>
  <c r="H95" i="3" s="1"/>
  <c r="N24" i="3"/>
  <c r="D32" i="3" s="1"/>
  <c r="O24" i="3"/>
  <c r="D96" i="3" s="1"/>
  <c r="H96" i="3" s="1"/>
  <c r="N25" i="3"/>
  <c r="D33" i="3" s="1"/>
  <c r="O25" i="3"/>
  <c r="D97" i="3" s="1"/>
  <c r="H97" i="3" s="1"/>
  <c r="N26" i="3"/>
  <c r="D34" i="3" s="1"/>
  <c r="O26" i="3"/>
  <c r="D98" i="3" s="1"/>
  <c r="H98" i="3" s="1"/>
  <c r="N27" i="3"/>
  <c r="D35" i="3" s="1"/>
  <c r="O27" i="3"/>
  <c r="D99" i="3" s="1"/>
  <c r="H99" i="3" s="1"/>
  <c r="N28" i="3"/>
  <c r="D36" i="3" s="1"/>
  <c r="O28" i="3"/>
  <c r="D100" i="3" s="1"/>
  <c r="H100" i="3" s="1"/>
  <c r="N29" i="3"/>
  <c r="D37" i="3" s="1"/>
  <c r="O29" i="3"/>
  <c r="D101" i="3" s="1"/>
  <c r="H101" i="3" s="1"/>
  <c r="N30" i="3"/>
  <c r="D38" i="3" s="1"/>
  <c r="O30" i="3"/>
  <c r="D102" i="3" s="1"/>
  <c r="H102" i="3" s="1"/>
  <c r="N33" i="3"/>
  <c r="D43" i="3" s="1"/>
  <c r="O33" i="3"/>
  <c r="D107" i="3" s="1"/>
  <c r="N34" i="3"/>
  <c r="D44" i="3" s="1"/>
  <c r="O34" i="3"/>
  <c r="D108" i="3" s="1"/>
  <c r="H108" i="3" s="1"/>
  <c r="N36" i="3"/>
  <c r="D46" i="3" s="1"/>
  <c r="O36" i="3"/>
  <c r="D110" i="3" s="1"/>
  <c r="N38" i="3"/>
  <c r="D48" i="3" s="1"/>
  <c r="O38" i="3"/>
  <c r="D112" i="3" s="1"/>
  <c r="N39" i="3"/>
  <c r="D49" i="3" s="1"/>
  <c r="O39" i="3"/>
  <c r="D113" i="3" s="1"/>
  <c r="H113" i="3" s="1"/>
  <c r="N40" i="3"/>
  <c r="D50" i="3" s="1"/>
  <c r="O40" i="3"/>
  <c r="D114" i="3" s="1"/>
  <c r="H114" i="3" s="1"/>
  <c r="N41" i="3"/>
  <c r="D51" i="3" s="1"/>
  <c r="O41" i="3"/>
  <c r="D115" i="3" s="1"/>
  <c r="H115" i="3" s="1"/>
  <c r="N42" i="3"/>
  <c r="D52" i="3" s="1"/>
  <c r="O42" i="3"/>
  <c r="D116" i="3" s="1"/>
  <c r="H116" i="3" s="1"/>
  <c r="N43" i="3"/>
  <c r="D53" i="3" s="1"/>
  <c r="O43" i="3"/>
  <c r="D117" i="3" s="1"/>
  <c r="H117" i="3" s="1"/>
  <c r="N44" i="3"/>
  <c r="D54" i="3" s="1"/>
  <c r="O44" i="3"/>
  <c r="D118" i="3" s="1"/>
  <c r="H118" i="3" s="1"/>
  <c r="N45" i="3"/>
  <c r="D55" i="3" s="1"/>
  <c r="O45" i="3"/>
  <c r="D119" i="3" s="1"/>
  <c r="H119" i="3" s="1"/>
  <c r="N47" i="3"/>
  <c r="D57" i="3" s="1"/>
  <c r="O47" i="3"/>
  <c r="D121" i="3" s="1"/>
  <c r="N48" i="3"/>
  <c r="D58" i="3" s="1"/>
  <c r="O48" i="3"/>
  <c r="D122" i="3" s="1"/>
  <c r="H122" i="3" s="1"/>
  <c r="N49" i="3"/>
  <c r="D59" i="3" s="1"/>
  <c r="O49" i="3"/>
  <c r="D123" i="3" s="1"/>
  <c r="H123" i="3" s="1"/>
  <c r="N50" i="3"/>
  <c r="D60" i="3" s="1"/>
  <c r="O50" i="3"/>
  <c r="D124" i="3" s="1"/>
  <c r="H124" i="3" s="1"/>
  <c r="N51" i="3"/>
  <c r="D62" i="3" s="1"/>
  <c r="O51" i="3"/>
  <c r="D126" i="3" s="1"/>
  <c r="H126" i="3" s="1"/>
  <c r="N52" i="3"/>
  <c r="D63" i="3" s="1"/>
  <c r="O52" i="3"/>
  <c r="D127" i="3" s="1"/>
  <c r="H127" i="3" s="1"/>
  <c r="N53" i="3"/>
  <c r="D64" i="3" s="1"/>
  <c r="O53" i="3"/>
  <c r="D128" i="3" s="1"/>
  <c r="H128" i="3" s="1"/>
  <c r="N55" i="3"/>
  <c r="D66" i="3" s="1"/>
  <c r="O55" i="3"/>
  <c r="D130" i="3" s="1"/>
  <c r="N56" i="3"/>
  <c r="D67" i="3" s="1"/>
  <c r="O56" i="3"/>
  <c r="D131" i="3" s="1"/>
  <c r="H131" i="3" s="1"/>
  <c r="N57" i="3"/>
  <c r="D68" i="3" s="1"/>
  <c r="O57" i="3"/>
  <c r="D132" i="3" s="1"/>
  <c r="H132" i="3" s="1"/>
  <c r="N58" i="3"/>
  <c r="D69" i="3" s="1"/>
  <c r="O58" i="3"/>
  <c r="D133" i="3" s="1"/>
  <c r="H133" i="3" s="1"/>
  <c r="N59" i="3"/>
  <c r="D70" i="3" s="1"/>
  <c r="O59" i="3"/>
  <c r="D134" i="3" s="1"/>
  <c r="H134" i="3" s="1"/>
  <c r="N60" i="3"/>
  <c r="D71" i="3" s="1"/>
  <c r="O60" i="3"/>
  <c r="D135" i="3" s="1"/>
  <c r="H135" i="3" s="1"/>
  <c r="N61" i="3"/>
  <c r="D72" i="3" s="1"/>
  <c r="O61" i="3"/>
  <c r="D136" i="3" s="1"/>
  <c r="H136" i="3" s="1"/>
  <c r="F21" i="1"/>
  <c r="E21" i="1"/>
  <c r="J21" i="1" s="1"/>
  <c r="D15" i="5"/>
  <c r="N15" i="5" s="1"/>
  <c r="F13" i="5"/>
  <c r="P13" i="5" s="1"/>
  <c r="E13" i="5"/>
  <c r="O13" i="5" s="1"/>
  <c r="D13" i="5"/>
  <c r="N13" i="5" s="1"/>
  <c r="B34" i="2"/>
  <c r="B31" i="2"/>
  <c r="B37" i="2"/>
  <c r="A31" i="2"/>
  <c r="A20" i="16" s="1"/>
  <c r="P33" i="2"/>
  <c r="P36" i="2"/>
  <c r="P39" i="2"/>
  <c r="B26" i="7"/>
  <c r="B27" i="7"/>
  <c r="B28" i="7"/>
  <c r="B23" i="7"/>
  <c r="A26" i="7"/>
  <c r="D94" i="3" l="1"/>
  <c r="H94" i="3" s="1"/>
  <c r="P40" i="2"/>
  <c r="D168" i="3"/>
  <c r="H130" i="3"/>
  <c r="H129" i="3" s="1"/>
  <c r="D129" i="3"/>
  <c r="D120" i="3"/>
  <c r="H121" i="3"/>
  <c r="H120" i="3" s="1"/>
  <c r="H112" i="3"/>
  <c r="H111" i="3" s="1"/>
  <c r="D111" i="3"/>
  <c r="H110" i="3"/>
  <c r="H109" i="3" s="1"/>
  <c r="D109" i="3"/>
  <c r="H107" i="3"/>
  <c r="H104" i="3" s="1"/>
  <c r="D104" i="3"/>
  <c r="H21" i="1"/>
  <c r="H86" i="3"/>
  <c r="G15" i="5"/>
  <c r="Q15" i="5" s="1"/>
  <c r="G13" i="5"/>
  <c r="Q13" i="5" s="1"/>
  <c r="D21" i="1"/>
  <c r="I21" i="1" s="1"/>
  <c r="F19" i="1"/>
  <c r="K19" i="1" s="1"/>
  <c r="F15" i="5"/>
  <c r="P15" i="5" s="1"/>
  <c r="E19" i="1"/>
  <c r="J19" i="1" s="1"/>
  <c r="E15" i="5"/>
  <c r="O15" i="5" s="1"/>
  <c r="D19" i="1"/>
  <c r="I19" i="1" s="1"/>
  <c r="L22" i="12"/>
  <c r="L21" i="1"/>
  <c r="K21" i="1"/>
  <c r="H19" i="1"/>
  <c r="L19" i="1"/>
  <c r="F40" i="2"/>
  <c r="D40" i="2"/>
  <c r="E40" i="2"/>
  <c r="A23" i="7"/>
  <c r="J138" i="3" l="1"/>
  <c r="D82" i="3"/>
  <c r="H82" i="3"/>
  <c r="D78" i="3"/>
  <c r="D77" i="3" s="1"/>
  <c r="D76" i="3" s="1"/>
  <c r="D103" i="3"/>
  <c r="H103" i="3"/>
  <c r="J40" i="2"/>
  <c r="N36" i="2"/>
  <c r="B11" i="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J74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D18" i="3"/>
  <c r="G17" i="3"/>
  <c r="H17" i="3" s="1"/>
  <c r="G16" i="3"/>
  <c r="H16" i="3" s="1"/>
  <c r="G15" i="3"/>
  <c r="H15" i="3" s="1"/>
  <c r="G14" i="3"/>
  <c r="H78" i="3" l="1"/>
  <c r="H77" i="3" s="1"/>
  <c r="H76" i="3" s="1"/>
  <c r="H139" i="3" s="1"/>
  <c r="N22" i="16"/>
  <c r="D139" i="3"/>
  <c r="D39" i="3"/>
  <c r="I40" i="2"/>
  <c r="N39" i="2"/>
  <c r="H40" i="2"/>
  <c r="G193" i="3"/>
  <c r="G13" i="3"/>
  <c r="G40" i="3"/>
  <c r="G141" i="3"/>
  <c r="G168" i="3"/>
  <c r="G175" i="3"/>
  <c r="G146" i="3"/>
  <c r="G18" i="3"/>
  <c r="G56" i="3"/>
  <c r="G65" i="3"/>
  <c r="G184" i="3"/>
  <c r="K40" i="2"/>
  <c r="O36" i="2"/>
  <c r="L40" i="2"/>
  <c r="D142" i="3"/>
  <c r="H142" i="3" s="1"/>
  <c r="H141" i="3" s="1"/>
  <c r="F11" i="2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H40" i="3"/>
  <c r="G47" i="3"/>
  <c r="H66" i="3"/>
  <c r="H19" i="3"/>
  <c r="H18" i="3" s="1"/>
  <c r="H46" i="3"/>
  <c r="H45" i="3" s="1"/>
  <c r="H57" i="3"/>
  <c r="H56" i="3" s="1"/>
  <c r="H74" i="3"/>
  <c r="H73" i="3" s="1"/>
  <c r="F10" i="2" l="1"/>
  <c r="F24" i="16"/>
  <c r="J24" i="16"/>
  <c r="B24" i="16"/>
  <c r="C24" i="16"/>
  <c r="G24" i="16"/>
  <c r="K24" i="16"/>
  <c r="D24" i="16"/>
  <c r="H24" i="16"/>
  <c r="L24" i="16"/>
  <c r="E24" i="16"/>
  <c r="I24" i="16"/>
  <c r="M24" i="16"/>
  <c r="J139" i="3"/>
  <c r="G39" i="3"/>
  <c r="D141" i="3"/>
  <c r="D140" i="3" s="1"/>
  <c r="D203" i="3" s="1"/>
  <c r="O39" i="2"/>
  <c r="Q39" i="2" s="1"/>
  <c r="Q36" i="2"/>
  <c r="C11" i="2"/>
  <c r="E11" i="2" s="1"/>
  <c r="M40" i="2"/>
  <c r="J202" i="3"/>
  <c r="G167" i="3"/>
  <c r="G12" i="3"/>
  <c r="H140" i="3"/>
  <c r="G140" i="3"/>
  <c r="G40" i="2"/>
  <c r="N33" i="2"/>
  <c r="H65" i="3"/>
  <c r="H39" i="3" s="1"/>
  <c r="H167" i="3"/>
  <c r="J206" i="3" l="1"/>
  <c r="G203" i="3"/>
  <c r="N24" i="16"/>
  <c r="O40" i="2"/>
  <c r="C10" i="2"/>
  <c r="N40" i="2"/>
  <c r="B10" i="2"/>
  <c r="G75" i="3"/>
  <c r="H203" i="3"/>
  <c r="Q33" i="2"/>
  <c r="Q40" i="2" s="1"/>
  <c r="C21" i="16" l="1"/>
  <c r="G21" i="16"/>
  <c r="G25" i="16" s="1"/>
  <c r="K21" i="16"/>
  <c r="K25" i="16" s="1"/>
  <c r="I21" i="16"/>
  <c r="I25" i="16" s="1"/>
  <c r="F21" i="16"/>
  <c r="F25" i="16" s="1"/>
  <c r="B21" i="16"/>
  <c r="D21" i="16"/>
  <c r="D25" i="16" s="1"/>
  <c r="H21" i="16"/>
  <c r="H25" i="16" s="1"/>
  <c r="L21" i="16"/>
  <c r="L25" i="16" s="1"/>
  <c r="E21" i="16"/>
  <c r="E25" i="16" s="1"/>
  <c r="M21" i="16"/>
  <c r="M25" i="16" s="1"/>
  <c r="J21" i="16"/>
  <c r="J25" i="16" s="1"/>
  <c r="C25" i="16"/>
  <c r="E10" i="2"/>
  <c r="J203" i="3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N13" i="7" s="1"/>
  <c r="M11" i="5" l="1"/>
  <c r="D17" i="1"/>
  <c r="I17" i="1" s="1"/>
  <c r="U11" i="5"/>
  <c r="D11" i="5"/>
  <c r="N11" i="5" s="1"/>
  <c r="I24" i="2"/>
  <c r="T11" i="5"/>
  <c r="E17" i="1"/>
  <c r="J17" i="1" s="1"/>
  <c r="K24" i="2"/>
  <c r="S11" i="5"/>
  <c r="C17" i="1"/>
  <c r="H17" i="1" s="1"/>
  <c r="J24" i="2"/>
  <c r="V11" i="5"/>
  <c r="G11" i="5"/>
  <c r="Q11" i="5" s="1"/>
  <c r="G17" i="1"/>
  <c r="L17" i="1" s="1"/>
  <c r="F11" i="5"/>
  <c r="P11" i="5" s="1"/>
  <c r="F17" i="1"/>
  <c r="K17" i="1" s="1"/>
  <c r="B24" i="7"/>
  <c r="B25" i="7"/>
  <c r="P26" i="2" l="1"/>
  <c r="M26" i="2"/>
  <c r="K26" i="2"/>
  <c r="I26" i="2"/>
  <c r="L26" i="2"/>
  <c r="E24" i="2"/>
  <c r="G25" i="2"/>
  <c r="E25" i="2"/>
  <c r="H24" i="2"/>
  <c r="F24" i="2"/>
  <c r="D24" i="2"/>
  <c r="E26" i="2" l="1"/>
  <c r="J26" i="2"/>
  <c r="G24" i="2"/>
  <c r="G26" i="2" s="1"/>
  <c r="F25" i="2"/>
  <c r="F26" i="2" s="1"/>
  <c r="D25" i="2"/>
  <c r="D26" i="2" s="1"/>
  <c r="H25" i="2"/>
  <c r="H26" i="2" s="1"/>
  <c r="O26" i="2" l="1"/>
  <c r="N26" i="2"/>
  <c r="Q26" i="2" l="1"/>
  <c r="I12" i="7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K43" i="13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2" i="2"/>
  <c r="R62" i="13" l="1"/>
  <c r="P62" i="13"/>
  <c r="O62" i="13" s="1"/>
  <c r="N62" i="13"/>
  <c r="W80" i="13"/>
  <c r="Q62" i="13" l="1"/>
  <c r="AD15" i="13" s="1"/>
  <c r="AK15" i="13" s="1"/>
  <c r="AL15" i="13" s="1"/>
  <c r="AE15" i="13"/>
  <c r="AB15" i="13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B9" i="16" s="1"/>
  <c r="P41" i="2" l="1"/>
  <c r="K28" i="2"/>
  <c r="F28" i="2" s="1"/>
  <c r="K22" i="2"/>
  <c r="F22" i="2" s="1"/>
  <c r="J12" i="7"/>
  <c r="O12" i="7" s="1"/>
  <c r="T10" i="5" l="1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K29" i="2"/>
  <c r="E4" i="12"/>
  <c r="B11" i="12"/>
  <c r="K30" i="2" l="1"/>
  <c r="K41" i="2" s="1"/>
  <c r="F30" i="2"/>
  <c r="F41" i="2" s="1"/>
  <c r="L11" i="12"/>
  <c r="L36" i="12" l="1"/>
  <c r="D14" i="3"/>
  <c r="C16" i="1"/>
  <c r="H16" i="1" s="1"/>
  <c r="N10" i="16" l="1"/>
  <c r="H14" i="3"/>
  <c r="H13" i="3" s="1"/>
  <c r="H12" i="3" s="1"/>
  <c r="H75" i="3" s="1"/>
  <c r="D13" i="3"/>
  <c r="D12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B12" i="16" l="1"/>
  <c r="B13" i="16" s="1"/>
  <c r="E12" i="16"/>
  <c r="I12" i="16"/>
  <c r="M12" i="16"/>
  <c r="K12" i="16"/>
  <c r="H12" i="16"/>
  <c r="F12" i="16"/>
  <c r="J12" i="16"/>
  <c r="D12" i="16"/>
  <c r="G12" i="16"/>
  <c r="C12" i="16"/>
  <c r="L12" i="16"/>
  <c r="J75" i="3"/>
  <c r="J207" i="3" s="1"/>
  <c r="H204" i="3"/>
  <c r="D23" i="2"/>
  <c r="H22" i="2"/>
  <c r="M23" i="2"/>
  <c r="D28" i="2"/>
  <c r="D29" i="2" s="1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D30" i="2" l="1"/>
  <c r="M30" i="2"/>
  <c r="M41" i="2" s="1"/>
  <c r="L30" i="2"/>
  <c r="L41" i="2" s="1"/>
  <c r="I30" i="2"/>
  <c r="I41" i="2" s="1"/>
  <c r="N12" i="16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G29" i="2"/>
  <c r="H29" i="2"/>
  <c r="H30" i="2" l="1"/>
  <c r="H41" i="2" s="1"/>
  <c r="G30" i="2"/>
  <c r="G41" i="2" s="1"/>
  <c r="D41" i="2"/>
  <c r="F9" i="2" l="1"/>
  <c r="F12" i="2" s="1"/>
  <c r="J27" i="2" l="1"/>
  <c r="G10" i="2" l="1"/>
  <c r="G11" i="2"/>
  <c r="G9" i="2"/>
  <c r="J29" i="2"/>
  <c r="E27" i="2"/>
  <c r="E29" i="2" s="1"/>
  <c r="H11" i="2" l="1"/>
  <c r="I11" i="2" s="1"/>
  <c r="H10" i="2"/>
  <c r="H9" i="2"/>
  <c r="G12" i="2"/>
  <c r="L9" i="2" s="1"/>
  <c r="N29" i="2"/>
  <c r="O29" i="2"/>
  <c r="L10" i="2" l="1"/>
  <c r="L11" i="2"/>
  <c r="H12" i="2"/>
  <c r="Q29" i="2"/>
  <c r="L12" i="2" l="1"/>
  <c r="D10" i="5"/>
  <c r="N10" i="5" s="1"/>
  <c r="J21" i="2"/>
  <c r="J23" i="2" s="1"/>
  <c r="J30" i="2" l="1"/>
  <c r="J41" i="2" s="1"/>
  <c r="E21" i="2"/>
  <c r="E23" i="2" s="1"/>
  <c r="O23" i="2"/>
  <c r="O30" i="2" s="1"/>
  <c r="E30" i="2" l="1"/>
  <c r="E41" i="2" s="1"/>
  <c r="O41" i="2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N23" i="2"/>
  <c r="N30" i="2" s="1"/>
  <c r="C9" i="2" l="1"/>
  <c r="C12" i="2" s="1"/>
  <c r="Q23" i="2"/>
  <c r="Q30" i="2" s="1"/>
  <c r="N41" i="2" l="1"/>
  <c r="D9" i="16"/>
  <c r="D13" i="16" s="1"/>
  <c r="C9" i="16"/>
  <c r="I10" i="2"/>
  <c r="Q41" i="2"/>
  <c r="B9" i="2"/>
  <c r="N9" i="16" l="1"/>
  <c r="N13" i="16" s="1"/>
  <c r="C13" i="16"/>
  <c r="B12" i="2"/>
  <c r="E9" i="2"/>
  <c r="E12" i="2" s="1"/>
  <c r="I9" i="2" l="1"/>
  <c r="I12" i="2" s="1"/>
  <c r="D75" i="3"/>
  <c r="D20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158719002</author>
  </authors>
  <commentList>
    <comment ref="G13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x 10 meses
inicio marzo 2022</t>
        </r>
      </text>
    </comment>
    <comment ref="G17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x 10 meses
inicio marzo 2022</t>
        </r>
      </text>
    </comment>
    <comment ref="G24" authorId="0" shapeId="0" xr:uid="{00000000-0006-0000-0700-000003000000}">
      <text>
        <r>
          <rPr>
            <b/>
            <sz val="9"/>
            <color indexed="81"/>
            <rFont val="Tahoma"/>
            <charset val="1"/>
          </rPr>
          <t>x 10 meses
inicio marzo 2022</t>
        </r>
      </text>
    </comment>
  </commentList>
</comments>
</file>

<file path=xl/sharedStrings.xml><?xml version="1.0" encoding="utf-8"?>
<sst xmlns="http://schemas.openxmlformats.org/spreadsheetml/2006/main" count="1024" uniqueCount="449">
  <si>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</si>
  <si>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</si>
  <si>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</si>
  <si>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</si>
  <si>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</si>
  <si>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</si>
  <si>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</si>
  <si>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</si>
  <si>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</si>
  <si>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</si>
  <si>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</si>
  <si>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</si>
  <si>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</si>
  <si>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</si>
  <si>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</si>
  <si>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</si>
  <si>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</si>
  <si>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</si>
  <si>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</si>
  <si>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</si>
  <si>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</si>
  <si>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</si>
  <si>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</si>
  <si>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</si>
  <si>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</si>
  <si>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</si>
  <si>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</si>
  <si>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</si>
  <si>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</si>
  <si>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</si>
  <si>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</si>
  <si>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</si>
  <si>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</si>
  <si>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</si>
  <si>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</si>
  <si>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</si>
  <si>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</si>
  <si>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</si>
  <si>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</si>
  <si>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</si>
  <si>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</si>
  <si>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</si>
  <si>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</si>
  <si>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</si>
  <si>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</si>
  <si>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</si>
  <si>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</si>
  <si>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</si>
  <si>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</si>
  <si>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</si>
  <si>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</si>
  <si>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</si>
  <si>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</si>
  <si>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</si>
  <si>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</si>
  <si>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</si>
  <si>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</si>
  <si>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</si>
  <si>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</si>
  <si>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</si>
  <si>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</si>
  <si>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</si>
  <si>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</si>
  <si>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</si>
  <si>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</si>
  <si>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</si>
  <si>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</si>
  <si>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</si>
  <si>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</si>
  <si>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</si>
  <si>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</si>
  <si>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</si>
  <si>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</si>
  <si>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</si>
  <si>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</si>
  <si>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</si>
  <si>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</si>
  <si>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</si>
  <si>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</si>
  <si>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</si>
  <si>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</si>
  <si>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</si>
  <si>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</si>
  <si>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</si>
  <si>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</si>
  <si>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</si>
  <si>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</si>
  <si>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</si>
  <si>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</si>
  <si>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</si>
  <si>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</si>
  <si>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</si>
  <si>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</si>
  <si>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</si>
  <si>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</si>
  <si>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</si>
  <si>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</si>
  <si>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</si>
  <si>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</si>
  <si>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</si>
  <si>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</si>
  <si>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</si>
  <si>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</si>
  <si>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</si>
  <si>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</si>
  <si>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</si>
  <si>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</si>
  <si>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</si>
  <si>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</si>
  <si>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</si>
  <si>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</si>
  <si>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</si>
  <si>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</si>
  <si>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</si>
  <si>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</si>
  <si>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</si>
  <si>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</si>
  <si>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</si>
  <si>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</si>
  <si>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</si>
  <si>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</si>
  <si>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</si>
  <si>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</si>
  <si>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</si>
  <si>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</si>
  <si>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</si>
  <si>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</si>
  <si>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</si>
  <si>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</si>
  <si>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</si>
  <si>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</si>
  <si>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</si>
  <si>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</si>
  <si>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</si>
  <si>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</si>
  <si>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</si>
  <si>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</si>
  <si>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</si>
  <si>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</si>
  <si>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</si>
  <si>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</si>
  <si>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</si>
  <si>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</si>
  <si>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</si>
  <si>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</si>
  <si>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</si>
  <si>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</si>
  <si>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</si>
  <si>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</si>
  <si>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</si>
  <si>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</si>
  <si>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</si>
  <si>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</si>
  <si>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</si>
  <si>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</si>
  <si>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</si>
  <si>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</si>
  <si>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</si>
  <si>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</si>
  <si>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</si>
  <si>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</si>
  <si>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</si>
  <si>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</si>
  <si>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</si>
  <si>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</si>
  <si>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</si>
  <si>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</si>
  <si>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</si>
  <si>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</si>
  <si>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</si>
  <si>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</si>
  <si>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</si>
  <si>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</si>
  <si>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</si>
  <si>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</si>
  <si>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</si>
  <si>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</si>
  <si>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</si>
  <si>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</si>
  <si>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</si>
  <si>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</si>
  <si>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</si>
  <si>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</si>
  <si>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</si>
  <si>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</si>
  <si>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</si>
  <si>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</si>
  <si>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</si>
  <si>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</si>
  <si>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</si>
  <si>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</si>
  <si>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</si>
  <si>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</si>
  <si>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</si>
  <si>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</si>
  <si>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</si>
  <si>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</si>
  <si>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</si>
  <si>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</si>
  <si>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</si>
  <si>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</si>
  <si>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</si>
  <si>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</si>
  <si>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</si>
  <si>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</si>
  <si>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</si>
  <si>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</si>
  <si>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</si>
  <si>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</si>
  <si>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</si>
  <si>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</si>
  <si>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</si>
  <si>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</si>
  <si>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</si>
  <si>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</si>
  <si>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</si>
  <si>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</si>
  <si>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</si>
  <si>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</si>
  <si>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 xml:space="preserve"> Sala Cuna Olitas de Mar</t>
  </si>
  <si>
    <t>Sala Cuna Olitas de Mar</t>
  </si>
  <si>
    <t>Media Jornada</t>
  </si>
  <si>
    <t>Nocturna</t>
  </si>
  <si>
    <t>Diurna</t>
  </si>
  <si>
    <t>Mensualidad 2021</t>
  </si>
  <si>
    <t>Sala Cuna Olitas de Mar Diurna</t>
  </si>
  <si>
    <t>Sala Cuna Olitas de Mar Nocturna</t>
  </si>
  <si>
    <t>TOTAL</t>
  </si>
  <si>
    <t xml:space="preserve"> COSTOS DIRECTOS COMUNES  "JARDIN INFANTIL Y SALA CUNA OLITAS DE MAR"</t>
  </si>
  <si>
    <t>JI (80%)</t>
  </si>
  <si>
    <t>SC (20%)</t>
  </si>
  <si>
    <t>Matrícula 2022</t>
  </si>
  <si>
    <t>Mensualidad 2022</t>
  </si>
  <si>
    <t>Tarifa 2022</t>
  </si>
  <si>
    <t>Propuesta Mensualidad 2022</t>
  </si>
  <si>
    <t>Meta Ocupación niños 2022</t>
  </si>
  <si>
    <t>COSTO DIRECTO ESTIMADO 2022</t>
  </si>
  <si>
    <t>Costo Total anual por Servidor 2021</t>
  </si>
  <si>
    <t>REMUNERACIONES 2021</t>
  </si>
  <si>
    <t>Costo Total por Servidor Reajustado 2022</t>
  </si>
  <si>
    <t>COSTO INDIRECTO ESTIMADO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</si>
  <si>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</si>
  <si>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</si>
  <si>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</si>
  <si>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</si>
  <si>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</si>
  <si>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</si>
  <si>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</si>
  <si>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</si>
  <si>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</si>
  <si>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</si>
  <si>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</si>
  <si>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</si>
  <si>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</si>
  <si>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</si>
  <si>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</si>
  <si>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</si>
  <si>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</si>
  <si>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</si>
  <si>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</si>
  <si>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</si>
  <si>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</si>
  <si>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</si>
  <si>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DELBIENSAN</t>
  </si>
  <si>
    <t>Gasto Total Empresa
2021</t>
  </si>
  <si>
    <t>Gasto Total Empresa
2022</t>
  </si>
  <si>
    <t xml:space="preserve">Ed. De Párvulos </t>
  </si>
  <si>
    <t>Técnicos en párvulos</t>
  </si>
  <si>
    <t>Aux.  De Aseo</t>
  </si>
  <si>
    <t>Jardin Infantil Vitamina</t>
  </si>
  <si>
    <t>Jardïn Infantil Barbarita</t>
  </si>
  <si>
    <t>Jardín Infantil Vitamina</t>
  </si>
  <si>
    <t>Jardín Infantil Barbarita</t>
  </si>
  <si>
    <t>Sala Cuna Vitamina</t>
  </si>
  <si>
    <t>Sala Cuna Kimn</t>
  </si>
  <si>
    <t>HOJA H</t>
  </si>
  <si>
    <t>REMUNERACIONES</t>
  </si>
  <si>
    <t>1.- Detalle distribución personal JJ.II. Y SC OLITAS DE MAR siguiente detalle:</t>
  </si>
  <si>
    <t>JJ.II. OLITAS DE MAR</t>
  </si>
  <si>
    <t xml:space="preserve">Medio Menor  </t>
  </si>
  <si>
    <t>(15 niños)</t>
  </si>
  <si>
    <t>01 Educadora EE.CC + 01 Técnico EP.LEY18712)</t>
  </si>
  <si>
    <t>Medio Mayor</t>
  </si>
  <si>
    <t>01 Educadora PAC + 01 Técnico EP.LEY 18712</t>
  </si>
  <si>
    <t>PreKinder + Kinder</t>
  </si>
  <si>
    <t>01 Educadora PAC + 01 Técnico TT.</t>
  </si>
  <si>
    <t xml:space="preserve">01 Auxiliar Aseo EP. LEY 18712) Reemplazo TT. Natalia Gutierrez quien fue desvinculada en el mes de DICIEMBRE2019/MSG 141435 autoriza mantener cupo, </t>
  </si>
  <si>
    <t>Considerar el el caso no sea posible disponer de CUPO TT. autorizado por DIRECPERS.</t>
  </si>
  <si>
    <t>SC OLITAS DE MAR</t>
  </si>
  <si>
    <t>(07 minimo máximo 10 niños)</t>
  </si>
  <si>
    <r>
      <t>01 Educadora EP. LEY 18712/</t>
    </r>
    <r>
      <rPr>
        <b/>
        <u/>
        <sz val="10"/>
        <color rgb="FFFF0000"/>
        <rFont val="Arial"/>
        <family val="2"/>
      </rPr>
      <t xml:space="preserve">Reemplazo EE.CC. Bárbara González </t>
    </r>
    <r>
      <rPr>
        <sz val="10"/>
        <color rgb="FFFF0000"/>
        <rFont val="Arial"/>
        <family val="2"/>
      </rPr>
      <t/>
    </r>
  </si>
  <si>
    <r>
      <t xml:space="preserve">02 Técnico </t>
    </r>
    <r>
      <rPr>
        <b/>
        <u/>
        <sz val="10"/>
        <color rgb="FFFF0000"/>
        <rFont val="Arial"/>
        <family val="2"/>
      </rPr>
      <t>EXISTENTES</t>
    </r>
    <r>
      <rPr>
        <sz val="10"/>
        <color rgb="FFFF0000"/>
        <rFont val="Arial"/>
        <family val="2"/>
      </rPr>
      <t xml:space="preserve"> EP. LEY 18712</t>
    </r>
  </si>
  <si>
    <r>
      <t xml:space="preserve">01 Manipuladora de Alimentos </t>
    </r>
    <r>
      <rPr>
        <b/>
        <u/>
        <sz val="10"/>
        <color rgb="FFFF0000"/>
        <rFont val="Arial"/>
        <family val="2"/>
      </rPr>
      <t>EXISTENTE</t>
    </r>
    <r>
      <rPr>
        <sz val="10"/>
        <color rgb="FFFF0000"/>
        <rFont val="Arial"/>
        <family val="2"/>
      </rPr>
      <t xml:space="preserve"> EP. LEY 18712</t>
    </r>
  </si>
  <si>
    <t>2.- Desvinculaciones:</t>
  </si>
  <si>
    <t>3.- Aporte Remuneración Armada:</t>
  </si>
  <si>
    <t>GRADO</t>
  </si>
  <si>
    <t>APORTE PROM. APP. c/u</t>
  </si>
  <si>
    <t>APORTE TOTAL</t>
  </si>
  <si>
    <t>DIRECTORAS Y EDUCADORAS</t>
  </si>
  <si>
    <t>EE.CC.</t>
  </si>
  <si>
    <t>EDUCADORAS</t>
  </si>
  <si>
    <t>PAC.</t>
  </si>
  <si>
    <t>TÉCNICO EN PARVULOS</t>
  </si>
  <si>
    <t>TT.</t>
  </si>
  <si>
    <t>MANIPULADORA DE ALIMENTOS</t>
  </si>
  <si>
    <t>TOTAL GASTO APP/ EN PERSONAL ARMADA</t>
  </si>
  <si>
    <t>JUSTIFICACIÓN COSTOS DIRECTOS JI. OLITAS DE MAR:</t>
  </si>
  <si>
    <t>2 TÉCNICOS EN PARVULOS MÁS 1 AUX. ASEO (éste último cargo considera gasto x12 meses REM+BONO FIN DE AÑO)</t>
  </si>
  <si>
    <t>SUPLENCIAS Y REEMPLAZOS (EC  o PAC)</t>
  </si>
  <si>
    <t>1% ANUAL</t>
  </si>
  <si>
    <t>MATERIALES Y UTILES DE ASEO</t>
  </si>
  <si>
    <t>CURSO PARA 2 EDUCADORAS 2 TECNICO DE ACUERDO A PLAN DE CAPACITACIÓN J.I</t>
  </si>
  <si>
    <t>TEXTOS Y OTROS MAT. ENSENANZA</t>
  </si>
  <si>
    <t>Se considera combustible  para maquina cortadora de pasto.</t>
  </si>
  <si>
    <t>PASAJES FLETES Y BODEGAJE</t>
  </si>
  <si>
    <t>INTERNET</t>
  </si>
  <si>
    <t>Modem mas Internet mensual para actividades Pedagogicas.</t>
  </si>
  <si>
    <t>Zapatos de seguridad personal de cocina y aseo.</t>
  </si>
  <si>
    <t>COM.DE SERVICIO EN EL PAIS (VIATICO - 1 REUNIONES ANUAL DIRECTORA)</t>
  </si>
  <si>
    <t>RENOVACION DE LOZA, OLLAS, SERVICIOS</t>
  </si>
  <si>
    <t>MAT P MANTEN. Y REPARACION</t>
  </si>
  <si>
    <t>SELLOS WC, GRIFERIA , REJA, DESMALEZADO, CANALES, BAJADA DE AGUAS LLUVIAS, TECHUMBRE , SELLOS VENTANA, LIMPIEZA DE CAMARAS DE ACUERDO A FICHA DE MANTENIMIENTO DE INFRESTRUCTURA</t>
  </si>
  <si>
    <t>TORNER Y HOJAS OFICIO CARTA</t>
  </si>
  <si>
    <t>MANTENCION CAMARAS DE VIGILANCIA</t>
  </si>
  <si>
    <t>OTROS MATERIALES DE USO CONSUMO (CUOTA DE PADRES)</t>
  </si>
  <si>
    <t>MANTENCION DE QUEMADORES DE ACUERDO A FICHA DE MANTENIMIENTO DE INFRAESTRUCTURA</t>
  </si>
  <si>
    <t>OTRAS MANTEC Y REP MENORES</t>
  </si>
  <si>
    <t>MANTENCION Y REP DE AIRE ACONDICIONADO DE ACUERDO A FIICHA DE MANTENIMIENTO DE INFRAESTRUCTURA</t>
  </si>
  <si>
    <t>MANTENCION  IMPRESORA</t>
  </si>
  <si>
    <t>JUSTIFICACIÓN COSTOS DIRECTOS SC. OLITAS DE MAR:</t>
  </si>
  <si>
    <t>2 TÉCNICOS EN PARVULOS MÁS 1 MANIPULADORA DE ALIMENTOS</t>
  </si>
  <si>
    <t>1 EDUCADORA DE PÁRVULOS (Renuncia EE.CC. Bárbara González en Abril preaño) Considera Remuneración y bono fin de año</t>
  </si>
  <si>
    <t xml:space="preserve">10 NIÑOS J. COMPLETA </t>
  </si>
  <si>
    <t>RENOVACIÓN SÁBANAS</t>
  </si>
  <si>
    <t>SELLOS WC, GRIFERIA , REJA, DESMALEZADO, CANALES, BAJADA DE AGUAS LLUVIAS, TECHUMBRE , SELLOS VENTANA, LIMPIEZA DE CAMARAS DE ACUERDO A FICHA DE MANTENIMIENTO DE INFRA ESTRUCTURA</t>
  </si>
  <si>
    <t>MANTENCION Y REP DE AIRE ACONDICIONADO</t>
  </si>
  <si>
    <t>2 ALUMNAS EN PRACTICA POR 5 MESES 2 VECES A LA SEMANA</t>
  </si>
  <si>
    <t>48 J. COMPLETA +  8 MEDIA EXTENDIDA+4 MEDIA</t>
  </si>
  <si>
    <t>COMPRA UTILES DE ASEO MATERIALES PROTOCOLO NUMERO 3 LIMPIEZA Y DESINFECCION DE JI.8MASCARILLAS 60 CAJAS, GUANTES DESECHABLES 80 CAJAS ,BUZO BLANCO DESECHABLE  40UN.,ALCOHOL GEL, , PECHERAS DESECHABLES Q500 UN. AMONIO CUATERNARIOALCOHOL ETILICO AL 70%  44 LTS.</t>
  </si>
  <si>
    <t>COMISION DE SE SERVICIO  PSICOLOGO(2PASAJES)- PREVENCIONISTA (2 PASAJES).VIATICO:$20.000- VIATICO (49.391) EC. GRADO 9 REUNIÓN DE DIRECTORAS  3 DÍAS.</t>
  </si>
  <si>
    <t>RENOVACION TUNICAS GRADUACION(10 UNIDADES POR $15.000 C/U)</t>
  </si>
  <si>
    <t>Para el 2022 se considera la proyeccion anual 2021</t>
  </si>
  <si>
    <t xml:space="preserve">Para el 2022 se considera la proyeccion anual 2021 </t>
  </si>
  <si>
    <t>Se considera personal 1 Ed. Parv, 5 Tecnicos1 AUX. DE LOS SERVICIOS y 1manipuladora renovar uniformes.</t>
  </si>
  <si>
    <t>60 NINOS JI.</t>
  </si>
  <si>
    <t>SE MANTIENE VALOR 2021</t>
  </si>
  <si>
    <t>MANTENCION GRIFERÍA , SELLOS  Y ESTANQUES WC, DE ACUERDO A FICHA DE MANTENIMIENTO DE LA INFRAESTRUCTURA</t>
  </si>
  <si>
    <t xml:space="preserve">FUMIGACIÓN (LIQUIDO) </t>
  </si>
  <si>
    <t>MANTENCIÓN DE IMPRESORA</t>
  </si>
  <si>
    <t>FUMIGACIÓN (LIQUIDO).</t>
  </si>
  <si>
    <t>RENOVACIÓN DE MESAS Y SILLAS MEDIO MENOR PARA 22 NIÑOS</t>
  </si>
  <si>
    <t>REPOSICIÓN DE MATERIAL DIDÁCTICO, SET DE NÚMEROS, CUERPOS GEOMÉTRICOS, ÁBACOS, JUEGO DE SECUENCIAS RELOJ ESTUDIANTIL.</t>
  </si>
  <si>
    <t>REPOSICIÓN DE MATERIAL DIDÁCTICO.</t>
  </si>
  <si>
    <t>REPOSICIÓN CAMAS APILABLES.</t>
  </si>
  <si>
    <t>COMPRA ÚTILES DE ASEO(2.412.440)+MATERIALES PROTOCOLO NUMERO 3 LIMPIEZA Y DESINFECCION DE JI.8MASCARILLAS 60 CAJAS $551.400, GUANTES DESECHABLES 80 CAJAS $736.000,BUZO BLANCO DESECHABLE  40UN. 164.000,ALCOHOL GEL, $1.099.560, PECHERAS DESECHABLES Q500 UN. $540.000. AMONIO CUATERNARIO$191400, ALCOHOL ETILICO AL 70%  44 LTS.$87.560</t>
  </si>
  <si>
    <t>1  EDUC. 2 TECNICOS 1 MANIPULADORA</t>
  </si>
  <si>
    <t>COMBUSTIBLE PARA MÁQUINA DE CORTAR PASTO.</t>
  </si>
  <si>
    <t>Modem más Internet mensual para actividades Pedagogicas.</t>
  </si>
  <si>
    <t>Se considera personal 1 vEd. Parv, 02 Tecnicos y 1 manipuladora renovar uniformes.</t>
  </si>
  <si>
    <t>Zapatos de seguridad personal 1 cocina y 1 aseo.</t>
  </si>
  <si>
    <t>Manipuladora De Alimentos</t>
  </si>
  <si>
    <t>Myriam</t>
  </si>
  <si>
    <t>Flores Vasquez</t>
  </si>
  <si>
    <t>Enc. Rendición de Cuenta</t>
  </si>
  <si>
    <t xml:space="preserve">Edilia </t>
  </si>
  <si>
    <t>Vidal Àlvarez</t>
  </si>
  <si>
    <t>Encargado Contabilidad</t>
  </si>
  <si>
    <t xml:space="preserve">Sebastián </t>
  </si>
  <si>
    <t>Vásquez Castro</t>
  </si>
  <si>
    <t>Encargado Activo Fijo</t>
  </si>
  <si>
    <t>Adela</t>
  </si>
  <si>
    <t>Fuentes Paillacar</t>
  </si>
  <si>
    <t>Encargado Recursos Humanos</t>
  </si>
  <si>
    <t>Sergio</t>
  </si>
  <si>
    <t>Bueno Bueno</t>
  </si>
  <si>
    <t>Jardinero</t>
  </si>
  <si>
    <t>Quiroz Ortega</t>
  </si>
  <si>
    <t>Encargado Sostenimiento</t>
  </si>
  <si>
    <t xml:space="preserve">Jorge </t>
  </si>
  <si>
    <t>Reyes Oyarzún</t>
  </si>
  <si>
    <t>Encargado Asist. Habitacional</t>
  </si>
  <si>
    <t>Pablo</t>
  </si>
  <si>
    <t xml:space="preserve">Torres </t>
  </si>
  <si>
    <t>Gásfiter</t>
  </si>
  <si>
    <t xml:space="preserve">María José </t>
  </si>
  <si>
    <t>Maldonado Fernández</t>
  </si>
  <si>
    <t>Técnico en Párvulos</t>
  </si>
  <si>
    <t xml:space="preserve">Francisca </t>
  </si>
  <si>
    <t>Lillo Pardo</t>
  </si>
  <si>
    <t>Yacobsy</t>
  </si>
  <si>
    <t>Zuñiga</t>
  </si>
  <si>
    <t xml:space="preserve">Gladys </t>
  </si>
  <si>
    <t>Toledo</t>
  </si>
  <si>
    <t xml:space="preserve">Ximena </t>
  </si>
  <si>
    <t>Abarca</t>
  </si>
  <si>
    <t>ADQUISICIONES</t>
  </si>
  <si>
    <t>NUEVA CONTRATACION</t>
  </si>
  <si>
    <t>Tecnico en párvulos</t>
  </si>
  <si>
    <t>Educ Parv</t>
  </si>
  <si>
    <t>cual es la segunda EC?</t>
  </si>
  <si>
    <t>CURSO PARA UNA EDUCADORA DE PÁRVULOS LIDERAZGO ESCOLAR UNIVERSIDAD  DE LOS NNDES NO SE PUEDE PAGAR</t>
  </si>
  <si>
    <t>SE AGREGA 1 PERS</t>
  </si>
  <si>
    <t>MANTENCIONES DIVERSAS</t>
  </si>
  <si>
    <t>DETALLE DE FOFIS</t>
  </si>
  <si>
    <t>22 SILLAS</t>
  </si>
  <si>
    <t>5 MESAS</t>
  </si>
  <si>
    <t>CAMAS APILABLES</t>
  </si>
  <si>
    <t>UNA SALIDA CON DOS BUSES</t>
  </si>
  <si>
    <t>Ración : $ 1821</t>
  </si>
  <si>
    <t xml:space="preserve">SE ELIMINA$ 3190140 INDEMNIZACION </t>
  </si>
  <si>
    <t>SE ELIMINA $1104000 DE ALUMNA EN PRACTICA</t>
  </si>
  <si>
    <t>3 niveles de 20 niños con capacidad de 22</t>
  </si>
  <si>
    <t xml:space="preserve">capacidad máxima </t>
  </si>
  <si>
    <t>ACLARAR PAGO DE ESTE CURSO diplomado 707.000. semodifica por 4 cursos de 65000</t>
  </si>
  <si>
    <t>eep y materiales</t>
  </si>
  <si>
    <t>plan de mantenciones</t>
  </si>
  <si>
    <t>con cargo a ducaf</t>
  </si>
  <si>
    <t xml:space="preserve">costos remuneraciones con financiamiento parcial </t>
  </si>
  <si>
    <t>costos negativo</t>
  </si>
  <si>
    <t>costos negativos</t>
  </si>
  <si>
    <t>resultado negativo ¿¿¿???</t>
  </si>
  <si>
    <t>Mafalda</t>
  </si>
  <si>
    <t>Aguayo</t>
  </si>
  <si>
    <t>Elizabeth</t>
  </si>
  <si>
    <t>Bayer</t>
  </si>
  <si>
    <t xml:space="preserve">Antonia </t>
  </si>
  <si>
    <t>Monsalve</t>
  </si>
  <si>
    <t>M. Teresa</t>
  </si>
  <si>
    <t>Miño</t>
  </si>
  <si>
    <t>Manipuladora TT</t>
  </si>
  <si>
    <t>Solange</t>
  </si>
  <si>
    <t>Morales TT.</t>
  </si>
  <si>
    <t>EC. M. josé</t>
  </si>
  <si>
    <t xml:space="preserve">Zahyt </t>
  </si>
  <si>
    <t>González</t>
  </si>
  <si>
    <t>1 EDUC +4TECNICOS 1 MANIPULADORA 1 AUX DE SERVICIOS  (AUMENTO DE CANTIDAD DE PPERSONAL TÉCNICO POR MODIFICACIONES AL DECRETO 241, RESPECTO AL COEFICIENTE TÉCNICO)</t>
  </si>
  <si>
    <t>Léniz</t>
  </si>
  <si>
    <t>PAC Claudia</t>
  </si>
  <si>
    <t>vargas</t>
  </si>
  <si>
    <t>EC.Francisca</t>
  </si>
  <si>
    <t>Martinez</t>
  </si>
  <si>
    <t>se modifica valor ración según MABA PARA 6 EP LEY 18712</t>
  </si>
  <si>
    <t>se modfican raciones para lactantes</t>
  </si>
  <si>
    <t>considerado en apoyo direbien</t>
  </si>
  <si>
    <t>62 niños con alimentación+ 20 jornada verano</t>
  </si>
  <si>
    <t>se agregan bonos a todo el personal con contrato vigente a nov 2022</t>
  </si>
  <si>
    <t>se modifican raciones para personal y eliminan dos alumnas en practica y se baja a 9 meses</t>
  </si>
  <si>
    <t>se crea cuota d epadres anual</t>
  </si>
  <si>
    <t>1710600 se elimina por estar considerado en otros manten y rep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</si>
</sst>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 &quot;$&quot;* #,##0_ ;_ &quot;$&quot;* \-#,##0_ ;_ &quot;$&quot;* &quot;-&quot;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&quot;$&quot;\ * #,##0_-;\-&quot;$&quot;\ * #,##0_-;_-&quot;$&quot;\ * &quot;-&quot;??_-;_-@_-"/>
    <numFmt numFmtId="186" formatCode="_-&quot;$&quot;\ * #,##0_-;\-&quot;$&quot;\ * #,##0_-;_-&quot;$&quot;\ * &quot;-&quot;_-;_-@_-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4"/>
      <color rgb="FF000099"/>
      <name val="Arial"/>
      <family val="2"/>
    </font>
    <font>
      <b/>
      <sz val="12"/>
      <color rgb="FF000099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</fonts>
  <fills count="7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FFFF00"/>
      </patternFill>
    </fill>
    <fill>
      <patternFill patternType="gray125">
        <bgColor theme="4" tint="0.59999389629810485"/>
      </patternFill>
    </fill>
    <fill>
      <patternFill patternType="gray125">
        <bgColor theme="3" tint="0.79998168889431442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3" tint="0.59999389629810485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9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66"/>
        <bgColor indexed="64"/>
      </patternFill>
    </fill>
    <fill>
      <patternFill patternType="gray125">
        <bgColor theme="5" tint="0.59999389629810485"/>
      </patternFill>
    </fill>
    <fill>
      <patternFill patternType="solid">
        <fgColor theme="9" tint="-0.249977111117893"/>
        <bgColor indexed="64"/>
      </patternFill>
    </fill>
  </fills>
  <borders count="2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6">
    <xf numFmtId="0" fontId="0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15" fillId="0" borderId="0"/>
    <xf numFmtId="165" fontId="15" fillId="0" borderId="0"/>
    <xf numFmtId="0" fontId="9" fillId="8" borderId="0" applyNumberFormat="0" applyBorder="0" applyAlignment="0" applyProtection="0"/>
    <xf numFmtId="0" fontId="6" fillId="8" borderId="1" applyNumberFormat="0" applyAlignment="0" applyProtection="0"/>
    <xf numFmtId="168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3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71" fontId="15" fillId="0" borderId="0" applyFill="0" applyBorder="0" applyAlignment="0" applyProtection="0"/>
    <xf numFmtId="165" fontId="15" fillId="0" borderId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ill="0" applyBorder="0" applyAlignment="0" applyProtection="0"/>
    <xf numFmtId="42" fontId="15" fillId="0" borderId="0" applyFont="0" applyFill="0" applyBorder="0" applyAlignment="0" applyProtection="0"/>
    <xf numFmtId="0" fontId="6" fillId="8" borderId="211" applyNumberFormat="0" applyAlignment="0" applyProtection="0"/>
    <xf numFmtId="0" fontId="6" fillId="8" borderId="208" applyNumberFormat="0" applyAlignment="0" applyProtection="0"/>
    <xf numFmtId="0" fontId="6" fillId="8" borderId="209" applyNumberFormat="0" applyAlignment="0" applyProtection="0"/>
    <xf numFmtId="0" fontId="6" fillId="8" borderId="221" applyNumberFormat="0" applyAlignment="0" applyProtection="0"/>
    <xf numFmtId="0" fontId="6" fillId="8" borderId="215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8" borderId="274" applyNumberFormat="0" applyAlignment="0" applyProtection="0"/>
    <xf numFmtId="186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8" borderId="274" applyNumberFormat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67">
    <xf numFmtId="0" fontId="0" fillId="0" borderId="0" xfId="0"/>
    <xf numFmtId="0" fontId="0" fillId="0" borderId="0" xfId="0" applyFont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4" fillId="9" borderId="0" xfId="0" applyFont="1" applyFill="1" applyBorder="1" applyAlignment="1" applyProtection="1">
      <alignment horizontal="left" vertical="center"/>
    </xf>
    <xf numFmtId="167" fontId="14" fillId="9" borderId="0" xfId="13" applyNumberFormat="1" applyFont="1" applyFill="1" applyBorder="1" applyAlignment="1" applyProtection="1">
      <alignment vertical="center"/>
    </xf>
    <xf numFmtId="165" fontId="14" fillId="0" borderId="0" xfId="13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0" fontId="14" fillId="0" borderId="0" xfId="0" applyNumberFormat="1" applyFont="1" applyFill="1" applyAlignment="1" applyProtection="1">
      <alignment vertical="center"/>
    </xf>
    <xf numFmtId="167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7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176" fontId="14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4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4" fillId="0" borderId="0" xfId="0" applyFont="1" applyBorder="1" applyProtection="1"/>
    <xf numFmtId="0" fontId="14" fillId="0" borderId="0" xfId="0" applyFont="1" applyFill="1" applyBorder="1" applyAlignment="1" applyProtection="1">
      <alignment vertical="center"/>
    </xf>
    <xf numFmtId="168" fontId="14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4" fillId="0" borderId="0" xfId="0" applyFont="1" applyFill="1" applyBorder="1" applyAlignment="1" applyProtection="1">
      <alignment horizontal="center"/>
    </xf>
    <xf numFmtId="176" fontId="1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4" fillId="16" borderId="19" xfId="0" applyFont="1" applyFill="1" applyBorder="1" applyAlignment="1" applyProtection="1">
      <alignment horizontal="center" vertical="center" wrapText="1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6" fontId="14" fillId="26" borderId="19" xfId="0" applyNumberFormat="1" applyFont="1" applyFill="1" applyBorder="1" applyAlignment="1" applyProtection="1">
      <alignment horizontal="center" vertical="center"/>
    </xf>
    <xf numFmtId="169" fontId="14" fillId="19" borderId="19" xfId="16" applyNumberFormat="1" applyFont="1" applyFill="1" applyBorder="1" applyAlignment="1" applyProtection="1">
      <alignment horizontal="center" vertical="center"/>
    </xf>
    <xf numFmtId="176" fontId="0" fillId="26" borderId="19" xfId="0" applyNumberFormat="1" applyFont="1" applyFill="1" applyBorder="1" applyAlignment="1" applyProtection="1">
      <alignment horizontal="center" vertical="center"/>
    </xf>
    <xf numFmtId="176" fontId="24" fillId="26" borderId="15" xfId="0" applyNumberFormat="1" applyFont="1" applyFill="1" applyBorder="1" applyAlignment="1" applyProtection="1">
      <alignment horizontal="right" vertical="center"/>
    </xf>
    <xf numFmtId="168" fontId="16" fillId="19" borderId="6" xfId="16" applyFont="1" applyFill="1" applyBorder="1" applyAlignment="1" applyProtection="1">
      <alignment horizontal="center" vertical="center"/>
    </xf>
    <xf numFmtId="0" fontId="14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horizontal="left" vertical="center"/>
      <protection locked="0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14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Protection="1">
      <protection locked="0"/>
    </xf>
    <xf numFmtId="0" fontId="0" fillId="12" borderId="17" xfId="0" applyFont="1" applyFill="1" applyBorder="1" applyProtection="1">
      <protection locked="0"/>
    </xf>
    <xf numFmtId="168" fontId="15" fillId="0" borderId="19" xfId="16" applyBorder="1" applyAlignment="1" applyProtection="1">
      <alignment horizontal="center" vertical="center"/>
    </xf>
    <xf numFmtId="168" fontId="14" fillId="16" borderId="19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4" fillId="34" borderId="44" xfId="0" applyNumberFormat="1" applyFont="1" applyFill="1" applyBorder="1" applyAlignment="1" applyProtection="1">
      <alignment horizontal="center" vertical="center" wrapText="1"/>
    </xf>
    <xf numFmtId="167" fontId="14" fillId="34" borderId="47" xfId="0" applyNumberFormat="1" applyFont="1" applyFill="1" applyBorder="1" applyAlignment="1" applyProtection="1">
      <alignment horizontal="center" vertical="center" wrapText="1"/>
    </xf>
    <xf numFmtId="0" fontId="0" fillId="12" borderId="49" xfId="0" applyFont="1" applyFill="1" applyBorder="1" applyProtection="1">
      <protection locked="0"/>
    </xf>
    <xf numFmtId="0" fontId="29" fillId="0" borderId="0" xfId="0" applyFont="1" applyFill="1" applyBorder="1" applyAlignment="1" applyProtection="1">
      <alignment horizontal="center" vertical="center" wrapText="1"/>
    </xf>
    <xf numFmtId="168" fontId="30" fillId="0" borderId="0" xfId="16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vertical="center" indent="2"/>
    </xf>
    <xf numFmtId="0" fontId="14" fillId="0" borderId="0" xfId="0" applyFont="1" applyFill="1" applyBorder="1" applyAlignment="1" applyProtection="1">
      <alignment horizontal="center" vertical="center"/>
    </xf>
    <xf numFmtId="0" fontId="0" fillId="12" borderId="64" xfId="0" applyFont="1" applyFill="1" applyBorder="1" applyAlignment="1" applyProtection="1">
      <alignment horizontal="left" vertical="center"/>
      <protection locked="0"/>
    </xf>
    <xf numFmtId="0" fontId="0" fillId="12" borderId="64" xfId="0" applyFont="1" applyFill="1" applyBorder="1" applyProtection="1">
      <protection locked="0"/>
    </xf>
    <xf numFmtId="0" fontId="0" fillId="12" borderId="65" xfId="0" applyFont="1" applyFill="1" applyBorder="1" applyProtection="1">
      <protection locked="0"/>
    </xf>
    <xf numFmtId="177" fontId="0" fillId="12" borderId="66" xfId="13" applyNumberFormat="1" applyFont="1" applyFill="1" applyBorder="1" applyAlignment="1" applyProtection="1">
      <alignment vertical="center"/>
      <protection locked="0"/>
    </xf>
    <xf numFmtId="177" fontId="0" fillId="12" borderId="67" xfId="13" applyNumberFormat="1" applyFont="1" applyFill="1" applyBorder="1" applyAlignment="1" applyProtection="1">
      <alignment vertical="center"/>
      <protection locked="0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12" borderId="68" xfId="0" applyFont="1" applyFill="1" applyBorder="1" applyProtection="1">
      <protection locked="0"/>
    </xf>
    <xf numFmtId="0" fontId="0" fillId="12" borderId="69" xfId="0" applyFont="1" applyFill="1" applyBorder="1" applyProtection="1">
      <protection locked="0"/>
    </xf>
    <xf numFmtId="177" fontId="0" fillId="12" borderId="68" xfId="13" applyNumberFormat="1" applyFont="1" applyFill="1" applyBorder="1" applyAlignment="1" applyProtection="1">
      <alignment vertical="center"/>
      <protection locked="0"/>
    </xf>
    <xf numFmtId="0" fontId="0" fillId="12" borderId="66" xfId="0" applyFont="1" applyFill="1" applyBorder="1" applyAlignment="1" applyProtection="1">
      <alignment horizontal="left" vertical="center"/>
      <protection locked="0"/>
    </xf>
    <xf numFmtId="0" fontId="0" fillId="12" borderId="66" xfId="0" applyFont="1" applyFill="1" applyBorder="1" applyProtection="1">
      <protection locked="0"/>
    </xf>
    <xf numFmtId="0" fontId="0" fillId="12" borderId="71" xfId="0" applyFont="1" applyFill="1" applyBorder="1" applyProtection="1">
      <protection locked="0"/>
    </xf>
    <xf numFmtId="0" fontId="0" fillId="12" borderId="62" xfId="0" applyFont="1" applyFill="1" applyBorder="1" applyAlignment="1" applyProtection="1">
      <alignment horizontal="left" vertical="center"/>
      <protection locked="0"/>
    </xf>
    <xf numFmtId="0" fontId="0" fillId="12" borderId="62" xfId="0" applyFont="1" applyFill="1" applyBorder="1" applyProtection="1">
      <protection locked="0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67" xfId="0" applyFont="1" applyFill="1" applyBorder="1" applyProtection="1">
      <protection locked="0"/>
    </xf>
    <xf numFmtId="0" fontId="0" fillId="12" borderId="73" xfId="0" applyFont="1" applyFill="1" applyBorder="1" applyProtection="1">
      <protection locked="0"/>
    </xf>
    <xf numFmtId="176" fontId="0" fillId="0" borderId="74" xfId="0" applyNumberFormat="1" applyFont="1" applyFill="1" applyBorder="1" applyAlignment="1" applyProtection="1">
      <alignment horizontal="right" vertical="center"/>
    </xf>
    <xf numFmtId="176" fontId="0" fillId="0" borderId="76" xfId="0" applyNumberFormat="1" applyFont="1" applyFill="1" applyBorder="1" applyAlignment="1" applyProtection="1">
      <alignment horizontal="right" vertical="center"/>
    </xf>
    <xf numFmtId="176" fontId="0" fillId="0" borderId="77" xfId="0" applyNumberFormat="1" applyFont="1" applyFill="1" applyBorder="1" applyAlignment="1" applyProtection="1">
      <alignment horizontal="right" vertical="center"/>
    </xf>
    <xf numFmtId="177" fontId="0" fillId="12" borderId="71" xfId="13" applyNumberFormat="1" applyFont="1" applyFill="1" applyBorder="1" applyAlignment="1" applyProtection="1">
      <alignment vertical="center"/>
      <protection locked="0"/>
    </xf>
    <xf numFmtId="177" fontId="0" fillId="12" borderId="73" xfId="13" applyNumberFormat="1" applyFont="1" applyFill="1" applyBorder="1" applyAlignment="1" applyProtection="1">
      <alignment vertical="center"/>
      <protection locked="0"/>
    </xf>
    <xf numFmtId="177" fontId="0" fillId="12" borderId="69" xfId="13" applyNumberFormat="1" applyFont="1" applyFill="1" applyBorder="1" applyAlignment="1" applyProtection="1">
      <alignment vertical="center"/>
      <protection locked="0"/>
    </xf>
    <xf numFmtId="176" fontId="0" fillId="29" borderId="76" xfId="0" applyNumberFormat="1" applyFont="1" applyFill="1" applyBorder="1" applyAlignment="1" applyProtection="1">
      <alignment horizontal="right" vertical="center"/>
    </xf>
    <xf numFmtId="176" fontId="0" fillId="29" borderId="77" xfId="0" applyNumberFormat="1" applyFont="1" applyFill="1" applyBorder="1" applyAlignment="1" applyProtection="1">
      <alignment horizontal="right" vertical="center"/>
    </xf>
    <xf numFmtId="176" fontId="0" fillId="29" borderId="74" xfId="0" applyNumberFormat="1" applyFont="1" applyFill="1" applyBorder="1" applyAlignment="1" applyProtection="1">
      <alignment horizontal="right" vertical="center"/>
    </xf>
    <xf numFmtId="176" fontId="0" fillId="29" borderId="70" xfId="0" applyNumberFormat="1" applyFont="1" applyFill="1" applyBorder="1" applyAlignment="1" applyProtection="1">
      <alignment horizontal="right" vertical="center"/>
    </xf>
    <xf numFmtId="176" fontId="0" fillId="29" borderId="78" xfId="0" applyNumberFormat="1" applyFont="1" applyFill="1" applyBorder="1" applyAlignment="1" applyProtection="1">
      <alignment horizontal="right" vertical="center"/>
    </xf>
    <xf numFmtId="176" fontId="0" fillId="0" borderId="70" xfId="0" applyNumberFormat="1" applyFont="1" applyFill="1" applyBorder="1" applyAlignment="1" applyProtection="1">
      <alignment horizontal="right" vertical="center"/>
    </xf>
    <xf numFmtId="176" fontId="0" fillId="0" borderId="78" xfId="0" applyNumberFormat="1" applyFont="1" applyFill="1" applyBorder="1" applyAlignment="1" applyProtection="1">
      <alignment horizontal="right" vertical="center"/>
    </xf>
    <xf numFmtId="0" fontId="0" fillId="12" borderId="79" xfId="0" applyFont="1" applyFill="1" applyBorder="1" applyAlignment="1" applyProtection="1">
      <alignment horizontal="left" vertical="center"/>
      <protection locked="0"/>
    </xf>
    <xf numFmtId="0" fontId="0" fillId="12" borderId="80" xfId="0" applyFont="1" applyFill="1" applyBorder="1" applyAlignment="1" applyProtection="1">
      <alignment horizontal="left" vertical="center"/>
      <protection locked="0"/>
    </xf>
    <xf numFmtId="0" fontId="0" fillId="12" borderId="81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vertical="center"/>
    </xf>
    <xf numFmtId="0" fontId="12" fillId="23" borderId="67" xfId="0" applyFont="1" applyFill="1" applyBorder="1" applyAlignment="1" applyProtection="1">
      <alignment horizontal="left" vertical="center"/>
    </xf>
    <xf numFmtId="0" fontId="12" fillId="20" borderId="67" xfId="0" applyFont="1" applyFill="1" applyBorder="1" applyAlignment="1" applyProtection="1">
      <alignment horizontal="left" vertical="center"/>
    </xf>
    <xf numFmtId="174" fontId="20" fillId="0" borderId="67" xfId="0" applyNumberFormat="1" applyFont="1" applyFill="1" applyBorder="1" applyAlignment="1" applyProtection="1">
      <alignment horizontal="left"/>
    </xf>
    <xf numFmtId="0" fontId="14" fillId="21" borderId="67" xfId="0" applyFont="1" applyFill="1" applyBorder="1" applyAlignment="1" applyProtection="1">
      <alignment horizontal="center" vertical="center"/>
    </xf>
    <xf numFmtId="0" fontId="14" fillId="20" borderId="67" xfId="0" applyFont="1" applyFill="1" applyBorder="1" applyAlignment="1" applyProtection="1">
      <alignment horizontal="center" vertical="center" wrapText="1"/>
    </xf>
    <xf numFmtId="1" fontId="0" fillId="0" borderId="67" xfId="0" applyNumberFormat="1" applyFont="1" applyFill="1" applyBorder="1" applyAlignment="1" applyProtection="1">
      <alignment horizontal="center" vertical="center" wrapText="1"/>
    </xf>
    <xf numFmtId="167" fontId="12" fillId="23" borderId="67" xfId="13" applyNumberFormat="1" applyFont="1" applyFill="1" applyBorder="1" applyAlignment="1" applyProtection="1">
      <alignment horizontal="center" vertical="center"/>
    </xf>
    <xf numFmtId="167" fontId="12" fillId="20" borderId="67" xfId="13" applyNumberFormat="1" applyFont="1" applyFill="1" applyBorder="1" applyAlignment="1" applyProtection="1">
      <alignment horizontal="center" vertical="center"/>
    </xf>
    <xf numFmtId="167" fontId="0" fillId="12" borderId="67" xfId="13" applyNumberFormat="1" applyFont="1" applyFill="1" applyBorder="1" applyAlignment="1" applyProtection="1">
      <alignment vertical="center"/>
      <protection locked="0"/>
    </xf>
    <xf numFmtId="0" fontId="14" fillId="30" borderId="67" xfId="0" applyFont="1" applyFill="1" applyBorder="1" applyAlignment="1" applyProtection="1">
      <alignment horizontal="center" vertical="center" wrapText="1"/>
    </xf>
    <xf numFmtId="0" fontId="14" fillId="31" borderId="67" xfId="0" applyFont="1" applyFill="1" applyBorder="1" applyAlignment="1" applyProtection="1">
      <alignment horizontal="left" vertical="center"/>
    </xf>
    <xf numFmtId="167" fontId="14" fillId="30" borderId="67" xfId="0" applyNumberFormat="1" applyFont="1" applyFill="1" applyBorder="1" applyAlignment="1" applyProtection="1">
      <alignment horizontal="center" vertical="center" wrapText="1"/>
    </xf>
    <xf numFmtId="9" fontId="0" fillId="12" borderId="82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79" fontId="15" fillId="36" borderId="103" xfId="16" applyNumberFormat="1" applyFill="1" applyBorder="1" applyAlignment="1" applyProtection="1">
      <alignment horizontal="center" vertical="center"/>
    </xf>
    <xf numFmtId="179" fontId="15" fillId="36" borderId="104" xfId="16" applyNumberFormat="1" applyFill="1" applyBorder="1" applyAlignment="1" applyProtection="1">
      <alignment horizontal="center" vertical="center"/>
    </xf>
    <xf numFmtId="179" fontId="15" fillId="36" borderId="105" xfId="16" applyNumberFormat="1" applyFill="1" applyBorder="1" applyAlignment="1" applyProtection="1">
      <alignment horizontal="center" vertical="center"/>
    </xf>
    <xf numFmtId="179" fontId="15" fillId="36" borderId="106" xfId="16" applyNumberFormat="1" applyFill="1" applyBorder="1" applyAlignment="1" applyProtection="1">
      <alignment horizontal="center" vertical="center"/>
    </xf>
    <xf numFmtId="178" fontId="0" fillId="12" borderId="108" xfId="13" applyNumberFormat="1" applyFont="1" applyFill="1" applyBorder="1" applyAlignment="1" applyProtection="1">
      <alignment horizontal="center" vertical="center"/>
      <protection locked="0"/>
    </xf>
    <xf numFmtId="168" fontId="15" fillId="0" borderId="0" xfId="16" applyProtection="1"/>
    <xf numFmtId="180" fontId="15" fillId="0" borderId="0" xfId="13" applyNumberFormat="1" applyProtection="1"/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176" fontId="0" fillId="0" borderId="107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115" xfId="0" applyNumberFormat="1" applyFont="1" applyFill="1" applyBorder="1" applyAlignment="1" applyProtection="1">
      <alignment horizontal="right" vertical="center"/>
    </xf>
    <xf numFmtId="176" fontId="0" fillId="0" borderId="101" xfId="0" applyNumberFormat="1" applyFont="1" applyFill="1" applyBorder="1" applyAlignment="1" applyProtection="1">
      <alignment horizontal="right" vertical="center"/>
    </xf>
    <xf numFmtId="9" fontId="0" fillId="12" borderId="110" xfId="0" applyNumberFormat="1" applyFont="1" applyFill="1" applyBorder="1" applyAlignment="1" applyProtection="1">
      <alignment horizontal="center" vertical="center"/>
      <protection locked="0"/>
    </xf>
    <xf numFmtId="0" fontId="11" fillId="14" borderId="110" xfId="0" applyFont="1" applyFill="1" applyBorder="1" applyAlignment="1" applyProtection="1">
      <alignment horizontal="center" vertical="center"/>
    </xf>
    <xf numFmtId="0" fontId="11" fillId="46" borderId="109" xfId="0" applyFont="1" applyFill="1" applyBorder="1" applyAlignment="1" applyProtection="1">
      <alignment horizontal="center" vertical="center"/>
    </xf>
    <xf numFmtId="0" fontId="11" fillId="14" borderId="101" xfId="0" applyFont="1" applyFill="1" applyBorder="1" applyAlignment="1" applyProtection="1">
      <alignment horizontal="center" vertical="center"/>
    </xf>
    <xf numFmtId="0" fontId="11" fillId="46" borderId="122" xfId="0" applyFont="1" applyFill="1" applyBorder="1" applyAlignment="1" applyProtection="1">
      <alignment horizontal="center" vertical="center"/>
    </xf>
    <xf numFmtId="168" fontId="0" fillId="12" borderId="84" xfId="16" applyFont="1" applyFill="1" applyBorder="1" applyAlignment="1" applyProtection="1">
      <alignment horizontal="center" vertical="center"/>
      <protection locked="0"/>
    </xf>
    <xf numFmtId="168" fontId="0" fillId="12" borderId="123" xfId="16" applyFont="1" applyFill="1" applyBorder="1" applyAlignment="1" applyProtection="1">
      <alignment horizontal="center" vertical="center"/>
      <protection locked="0"/>
    </xf>
    <xf numFmtId="168" fontId="0" fillId="12" borderId="122" xfId="16" applyFont="1" applyFill="1" applyBorder="1" applyAlignment="1" applyProtection="1">
      <alignment horizontal="center" vertical="center"/>
      <protection locked="0"/>
    </xf>
    <xf numFmtId="176" fontId="0" fillId="0" borderId="104" xfId="0" applyNumberFormat="1" applyFont="1" applyFill="1" applyBorder="1" applyAlignment="1" applyProtection="1">
      <alignment horizontal="right" vertical="center"/>
    </xf>
    <xf numFmtId="176" fontId="0" fillId="0" borderId="109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11" fillId="47" borderId="110" xfId="0" applyFont="1" applyFill="1" applyBorder="1" applyAlignment="1" applyProtection="1">
      <alignment horizontal="center" vertical="center"/>
    </xf>
    <xf numFmtId="0" fontId="11" fillId="47" borderId="109" xfId="0" applyFont="1" applyFill="1" applyBorder="1" applyAlignment="1" applyProtection="1">
      <alignment horizontal="center" vertical="center"/>
    </xf>
    <xf numFmtId="168" fontId="31" fillId="0" borderId="86" xfId="16" applyFont="1" applyFill="1" applyBorder="1" applyAlignment="1" applyProtection="1">
      <alignment horizontal="center" vertical="center"/>
    </xf>
    <xf numFmtId="168" fontId="31" fillId="0" borderId="89" xfId="16" applyFont="1" applyFill="1" applyBorder="1" applyAlignment="1" applyProtection="1">
      <alignment horizontal="center" vertical="center"/>
    </xf>
    <xf numFmtId="176" fontId="0" fillId="27" borderId="88" xfId="0" applyNumberFormat="1" applyFont="1" applyFill="1" applyBorder="1" applyAlignment="1" applyProtection="1">
      <alignment horizontal="right" vertical="center"/>
    </xf>
    <xf numFmtId="176" fontId="0" fillId="27" borderId="126" xfId="0" applyNumberFormat="1" applyFont="1" applyFill="1" applyBorder="1" applyAlignment="1" applyProtection="1">
      <alignment horizontal="right" vertical="center"/>
    </xf>
    <xf numFmtId="0" fontId="0" fillId="11" borderId="128" xfId="0" applyFont="1" applyFill="1" applyBorder="1" applyProtection="1"/>
    <xf numFmtId="0" fontId="0" fillId="11" borderId="129" xfId="0" applyFont="1" applyFill="1" applyBorder="1" applyProtection="1"/>
    <xf numFmtId="0" fontId="0" fillId="11" borderId="130" xfId="0" applyFont="1" applyFill="1" applyBorder="1" applyProtection="1"/>
    <xf numFmtId="0" fontId="0" fillId="11" borderId="118" xfId="0" applyFont="1" applyFill="1" applyBorder="1" applyProtection="1"/>
    <xf numFmtId="0" fontId="0" fillId="11" borderId="60" xfId="0" applyFont="1" applyFill="1" applyBorder="1" applyProtection="1"/>
    <xf numFmtId="0" fontId="26" fillId="0" borderId="118" xfId="0" applyFont="1" applyBorder="1" applyAlignment="1" applyProtection="1">
      <alignment vertical="center"/>
    </xf>
    <xf numFmtId="0" fontId="11" fillId="14" borderId="111" xfId="0" applyFont="1" applyFill="1" applyBorder="1" applyAlignment="1" applyProtection="1">
      <alignment horizontal="center" vertical="center"/>
    </xf>
    <xf numFmtId="0" fontId="11" fillId="14" borderId="127" xfId="0" applyFont="1" applyFill="1" applyBorder="1" applyAlignment="1" applyProtection="1">
      <alignment horizontal="center" vertical="center"/>
    </xf>
    <xf numFmtId="0" fontId="11" fillId="47" borderId="111" xfId="0" applyFont="1" applyFill="1" applyBorder="1" applyAlignment="1" applyProtection="1">
      <alignment horizontal="center" vertical="center"/>
    </xf>
    <xf numFmtId="0" fontId="11" fillId="47" borderId="127" xfId="0" applyFont="1" applyFill="1" applyBorder="1" applyAlignment="1" applyProtection="1">
      <alignment horizontal="center" vertical="center"/>
    </xf>
    <xf numFmtId="0" fontId="11" fillId="46" borderId="111" xfId="0" applyFont="1" applyFill="1" applyBorder="1" applyAlignment="1" applyProtection="1">
      <alignment horizontal="center" vertical="center"/>
    </xf>
    <xf numFmtId="0" fontId="11" fillId="46" borderId="127" xfId="0" applyFont="1" applyFill="1" applyBorder="1" applyAlignment="1" applyProtection="1">
      <alignment horizontal="center" vertical="center"/>
    </xf>
    <xf numFmtId="176" fontId="0" fillId="26" borderId="103" xfId="0" applyNumberFormat="1" applyFont="1" applyFill="1" applyBorder="1" applyAlignment="1" applyProtection="1">
      <alignment horizontal="right" vertical="center"/>
    </xf>
    <xf numFmtId="176" fontId="0" fillId="26" borderId="104" xfId="0" applyNumberFormat="1" applyFont="1" applyFill="1" applyBorder="1" applyAlignment="1" applyProtection="1">
      <alignment horizontal="right" vertical="center"/>
    </xf>
    <xf numFmtId="0" fontId="0" fillId="11" borderId="119" xfId="0" applyFont="1" applyFill="1" applyBorder="1" applyProtection="1"/>
    <xf numFmtId="0" fontId="0" fillId="11" borderId="125" xfId="0" applyFont="1" applyFill="1" applyBorder="1" applyProtection="1"/>
    <xf numFmtId="0" fontId="0" fillId="11" borderId="56" xfId="0" applyFont="1" applyFill="1" applyBorder="1" applyProtection="1"/>
    <xf numFmtId="9" fontId="0" fillId="43" borderId="82" xfId="0" applyNumberFormat="1" applyFont="1" applyFill="1" applyBorder="1" applyAlignment="1" applyProtection="1">
      <alignment horizontal="center" vertical="center"/>
    </xf>
    <xf numFmtId="9" fontId="0" fillId="43" borderId="103" xfId="0" applyNumberFormat="1" applyFont="1" applyFill="1" applyBorder="1" applyAlignment="1" applyProtection="1">
      <alignment horizontal="center" vertical="center"/>
    </xf>
    <xf numFmtId="168" fontId="0" fillId="43" borderId="103" xfId="16" applyFont="1" applyFill="1" applyBorder="1" applyAlignment="1" applyProtection="1">
      <alignment horizontal="center" vertical="center"/>
    </xf>
    <xf numFmtId="0" fontId="14" fillId="16" borderId="127" xfId="0" applyFont="1" applyFill="1" applyBorder="1" applyAlignment="1" applyProtection="1">
      <alignment horizontal="center" vertical="center" wrapText="1"/>
    </xf>
    <xf numFmtId="176" fontId="23" fillId="28" borderId="117" xfId="0" applyNumberFormat="1" applyFont="1" applyFill="1" applyBorder="1" applyAlignment="1" applyProtection="1">
      <alignment horizontal="center" vertical="center"/>
    </xf>
    <xf numFmtId="176" fontId="24" fillId="28" borderId="48" xfId="0" applyNumberFormat="1" applyFont="1" applyFill="1" applyBorder="1" applyAlignment="1" applyProtection="1">
      <alignment vertical="center"/>
    </xf>
    <xf numFmtId="167" fontId="0" fillId="12" borderId="104" xfId="13" applyNumberFormat="1" applyFont="1" applyFill="1" applyBorder="1" applyAlignment="1" applyProtection="1">
      <alignment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167" fontId="0" fillId="12" borderId="107" xfId="13" applyNumberFormat="1" applyFont="1" applyFill="1" applyBorder="1" applyAlignment="1" applyProtection="1">
      <alignment vertical="center"/>
      <protection locked="0"/>
    </xf>
    <xf numFmtId="0" fontId="0" fillId="12" borderId="110" xfId="0" applyFont="1" applyFill="1" applyBorder="1" applyAlignment="1" applyProtection="1">
      <alignment horizontal="left" vertical="center"/>
      <protection locked="0"/>
    </xf>
    <xf numFmtId="167" fontId="0" fillId="12" borderId="109" xfId="13" applyNumberFormat="1" applyFont="1" applyFill="1" applyBorder="1" applyAlignment="1" applyProtection="1">
      <alignment vertical="center"/>
      <protection locked="0"/>
    </xf>
    <xf numFmtId="179" fontId="15" fillId="36" borderId="110" xfId="16" applyNumberFormat="1" applyFill="1" applyBorder="1" applyAlignment="1" applyProtection="1">
      <alignment horizontal="center" vertical="center"/>
    </xf>
    <xf numFmtId="179" fontId="15" fillId="36" borderId="108" xfId="16" applyNumberFormat="1" applyFill="1" applyBorder="1" applyAlignment="1" applyProtection="1">
      <alignment horizontal="center" vertical="center"/>
    </xf>
    <xf numFmtId="179" fontId="15" fillId="36" borderId="109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2" fillId="0" borderId="0" xfId="20" applyFill="1" applyBorder="1" applyAlignment="1" applyProtection="1">
      <alignment vertical="center"/>
    </xf>
    <xf numFmtId="0" fontId="22" fillId="11" borderId="0" xfId="20" applyFill="1" applyBorder="1" applyAlignment="1" applyProtection="1">
      <alignment vertical="center"/>
    </xf>
    <xf numFmtId="0" fontId="22" fillId="0" borderId="0" xfId="20" applyProtection="1"/>
    <xf numFmtId="0" fontId="22" fillId="0" borderId="0" xfId="20" applyBorder="1" applyAlignment="1" applyProtection="1">
      <alignment vertical="center"/>
    </xf>
    <xf numFmtId="0" fontId="22" fillId="0" borderId="0" xfId="20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2" fillId="0" borderId="0" xfId="20" quotePrefix="1" applyBorder="1" applyAlignment="1" applyProtection="1">
      <alignment horizontal="left" vertical="center"/>
    </xf>
    <xf numFmtId="0" fontId="22" fillId="0" borderId="0" xfId="20"/>
    <xf numFmtId="0" fontId="22" fillId="11" borderId="0" xfId="20" applyFill="1" applyBorder="1" applyAlignment="1" applyProtection="1">
      <alignment horizontal="left" vertical="center"/>
    </xf>
    <xf numFmtId="0" fontId="22" fillId="0" borderId="0" xfId="20" applyAlignment="1" applyProtection="1">
      <alignment horizontal="left"/>
    </xf>
    <xf numFmtId="0" fontId="14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indent="2"/>
    </xf>
    <xf numFmtId="0" fontId="14" fillId="17" borderId="105" xfId="0" applyFont="1" applyFill="1" applyBorder="1" applyAlignment="1" applyProtection="1">
      <alignment horizontal="center" vertical="center" wrapText="1"/>
    </xf>
    <xf numFmtId="173" fontId="14" fillId="17" borderId="105" xfId="12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vertical="center"/>
    </xf>
    <xf numFmtId="167" fontId="14" fillId="0" borderId="0" xfId="0" applyNumberFormat="1" applyFont="1" applyAlignment="1" applyProtection="1">
      <alignment vertical="center"/>
    </xf>
    <xf numFmtId="0" fontId="0" fillId="12" borderId="50" xfId="0" applyFont="1" applyFill="1" applyBorder="1" applyAlignment="1" applyProtection="1">
      <alignment horizontal="left" vertical="center"/>
      <protection locked="0"/>
    </xf>
    <xf numFmtId="178" fontId="0" fillId="12" borderId="146" xfId="13" applyNumberFormat="1" applyFont="1" applyFill="1" applyBorder="1" applyAlignment="1" applyProtection="1">
      <alignment horizontal="center" vertical="center"/>
      <protection locked="0"/>
    </xf>
    <xf numFmtId="167" fontId="0" fillId="0" borderId="154" xfId="0" applyNumberFormat="1" applyFont="1" applyFill="1" applyBorder="1" applyAlignment="1" applyProtection="1">
      <alignment vertical="center"/>
    </xf>
    <xf numFmtId="167" fontId="14" fillId="34" borderId="155" xfId="0" applyNumberFormat="1" applyFont="1" applyFill="1" applyBorder="1" applyAlignment="1" applyProtection="1">
      <alignment horizontal="center" vertical="center" wrapText="1"/>
    </xf>
    <xf numFmtId="167" fontId="14" fillId="34" borderId="156" xfId="0" applyNumberFormat="1" applyFont="1" applyFill="1" applyBorder="1" applyAlignment="1" applyProtection="1">
      <alignment horizontal="center" vertical="center" wrapText="1"/>
    </xf>
    <xf numFmtId="167" fontId="14" fillId="34" borderId="157" xfId="0" applyNumberFormat="1" applyFont="1" applyFill="1" applyBorder="1" applyAlignment="1" applyProtection="1">
      <alignment horizontal="center" vertical="center" wrapText="1"/>
    </xf>
    <xf numFmtId="167" fontId="0" fillId="10" borderId="105" xfId="13" applyNumberFormat="1" applyFont="1" applyFill="1" applyBorder="1" applyAlignment="1" applyProtection="1">
      <alignment horizontal="right" vertical="center"/>
    </xf>
    <xf numFmtId="172" fontId="0" fillId="0" borderId="105" xfId="12" applyNumberFormat="1" applyFont="1" applyFill="1" applyBorder="1" applyAlignment="1" applyProtection="1">
      <alignment vertical="center"/>
    </xf>
    <xf numFmtId="167" fontId="15" fillId="0" borderId="103" xfId="13" applyNumberFormat="1" applyFont="1" applyFill="1" applyBorder="1" applyAlignment="1" applyProtection="1">
      <alignment vertical="center"/>
    </xf>
    <xf numFmtId="167" fontId="0" fillId="10" borderId="103" xfId="13" applyNumberFormat="1" applyFont="1" applyFill="1" applyBorder="1" applyAlignment="1" applyProtection="1">
      <alignment horizontal="right" vertical="center"/>
    </xf>
    <xf numFmtId="167" fontId="14" fillId="39" borderId="160" xfId="0" applyNumberFormat="1" applyFont="1" applyFill="1" applyBorder="1" applyAlignment="1" applyProtection="1">
      <alignment vertical="center"/>
    </xf>
    <xf numFmtId="167" fontId="14" fillId="39" borderId="108" xfId="13" applyNumberFormat="1" applyFont="1" applyFill="1" applyBorder="1" applyAlignment="1" applyProtection="1">
      <alignment vertical="center"/>
    </xf>
    <xf numFmtId="167" fontId="14" fillId="39" borderId="108" xfId="13" applyNumberFormat="1" applyFont="1" applyFill="1" applyBorder="1" applyAlignment="1" applyProtection="1">
      <alignment horizontal="right" vertical="center"/>
    </xf>
    <xf numFmtId="167" fontId="15" fillId="0" borderId="50" xfId="13" applyNumberFormat="1" applyFont="1" applyFill="1" applyBorder="1" applyAlignment="1" applyProtection="1">
      <alignment vertical="center"/>
    </xf>
    <xf numFmtId="167" fontId="15" fillId="0" borderId="104" xfId="13" applyNumberFormat="1" applyFont="1" applyFill="1" applyBorder="1" applyAlignment="1" applyProtection="1">
      <alignment vertical="center"/>
    </xf>
    <xf numFmtId="172" fontId="0" fillId="0" borderId="106" xfId="12" applyNumberFormat="1" applyFont="1" applyFill="1" applyBorder="1" applyAlignment="1" applyProtection="1">
      <alignment vertical="center"/>
    </xf>
    <xf numFmtId="172" fontId="0" fillId="0" borderId="107" xfId="12" applyNumberFormat="1" applyFont="1" applyFill="1" applyBorder="1" applyAlignment="1" applyProtection="1">
      <alignment vertical="center"/>
    </xf>
    <xf numFmtId="167" fontId="14" fillId="39" borderId="110" xfId="13" applyNumberFormat="1" applyFont="1" applyFill="1" applyBorder="1" applyAlignment="1" applyProtection="1">
      <alignment vertical="center"/>
    </xf>
    <xf numFmtId="167" fontId="14" fillId="39" borderId="109" xfId="13" applyNumberFormat="1" applyFont="1" applyFill="1" applyBorder="1" applyAlignment="1" applyProtection="1">
      <alignment vertical="center"/>
    </xf>
    <xf numFmtId="167" fontId="0" fillId="10" borderId="142" xfId="13" applyNumberFormat="1" applyFont="1" applyFill="1" applyBorder="1" applyAlignment="1" applyProtection="1">
      <alignment horizontal="right" vertical="center"/>
    </xf>
    <xf numFmtId="167" fontId="0" fillId="10" borderId="123" xfId="13" applyNumberFormat="1" applyFont="1" applyFill="1" applyBorder="1" applyAlignment="1" applyProtection="1">
      <alignment horizontal="right" vertical="center"/>
    </xf>
    <xf numFmtId="167" fontId="14" fillId="39" borderId="122" xfId="13" applyNumberFormat="1" applyFont="1" applyFill="1" applyBorder="1" applyAlignment="1" applyProtection="1">
      <alignment horizontal="right" vertical="center"/>
    </xf>
    <xf numFmtId="167" fontId="15" fillId="43" borderId="54" xfId="13" applyNumberFormat="1" applyFont="1" applyFill="1" applyBorder="1" applyAlignment="1" applyProtection="1">
      <alignment vertical="center"/>
    </xf>
    <xf numFmtId="172" fontId="0" fillId="12" borderId="115" xfId="12" applyNumberFormat="1" applyFont="1" applyFill="1" applyBorder="1" applyAlignment="1" applyProtection="1">
      <alignment vertical="center"/>
      <protection locked="0"/>
    </xf>
    <xf numFmtId="167" fontId="14" fillId="39" borderId="101" xfId="13" applyNumberFormat="1" applyFont="1" applyFill="1" applyBorder="1" applyAlignment="1" applyProtection="1">
      <alignment vertical="center"/>
    </xf>
    <xf numFmtId="167" fontId="14" fillId="39" borderId="135" xfId="13" applyNumberFormat="1" applyFont="1" applyFill="1" applyBorder="1" applyAlignment="1" applyProtection="1">
      <alignment horizontal="right" vertical="center"/>
    </xf>
    <xf numFmtId="0" fontId="14" fillId="15" borderId="141" xfId="0" applyFont="1" applyFill="1" applyBorder="1" applyAlignment="1" applyProtection="1">
      <alignment horizontal="center" vertical="center" wrapText="1"/>
    </xf>
    <xf numFmtId="167" fontId="19" fillId="35" borderId="93" xfId="0" applyNumberFormat="1" applyFont="1" applyFill="1" applyBorder="1" applyAlignment="1" applyProtection="1">
      <alignment horizontal="center" vertical="center" wrapText="1"/>
    </xf>
    <xf numFmtId="167" fontId="19" fillId="35" borderId="170" xfId="0" applyNumberFormat="1" applyFont="1" applyFill="1" applyBorder="1" applyAlignment="1" applyProtection="1">
      <alignment horizontal="center" vertical="center" wrapText="1"/>
    </xf>
    <xf numFmtId="0" fontId="19" fillId="35" borderId="92" xfId="0" applyFont="1" applyFill="1" applyBorder="1" applyAlignment="1" applyProtection="1">
      <alignment horizontal="center" vertical="center" wrapText="1"/>
    </xf>
    <xf numFmtId="0" fontId="19" fillId="25" borderId="171" xfId="0" applyFont="1" applyFill="1" applyBorder="1" applyAlignment="1" applyProtection="1">
      <alignment horizontal="center" vertical="center" wrapText="1"/>
    </xf>
    <xf numFmtId="0" fontId="19" fillId="25" borderId="168" xfId="0" applyFont="1" applyFill="1" applyBorder="1" applyAlignment="1" applyProtection="1">
      <alignment horizontal="center" vertical="center" wrapText="1"/>
    </xf>
    <xf numFmtId="0" fontId="19" fillId="25" borderId="93" xfId="0" applyFont="1" applyFill="1" applyBorder="1" applyAlignment="1" applyProtection="1">
      <alignment horizontal="center" vertical="center" wrapText="1"/>
    </xf>
    <xf numFmtId="0" fontId="14" fillId="15" borderId="96" xfId="0" applyFont="1" applyFill="1" applyBorder="1" applyAlignment="1" applyProtection="1">
      <alignment horizontal="center" vertical="center" wrapText="1"/>
    </xf>
    <xf numFmtId="0" fontId="14" fillId="0" borderId="172" xfId="0" applyFont="1" applyFill="1" applyBorder="1" applyAlignment="1" applyProtection="1">
      <alignment horizontal="left" vertical="center"/>
    </xf>
    <xf numFmtId="167" fontId="0" fillId="29" borderId="148" xfId="13" applyNumberFormat="1" applyFont="1" applyFill="1" applyBorder="1" applyAlignment="1" applyProtection="1">
      <alignment vertical="center"/>
    </xf>
    <xf numFmtId="167" fontId="0" fillId="29" borderId="154" xfId="13" applyNumberFormat="1" applyFont="1" applyFill="1" applyBorder="1" applyAlignment="1" applyProtection="1">
      <alignment vertical="center"/>
    </xf>
    <xf numFmtId="167" fontId="14" fillId="29" borderId="173" xfId="13" applyNumberFormat="1" applyFont="1" applyFill="1" applyBorder="1" applyAlignment="1" applyProtection="1">
      <alignment vertical="center"/>
    </xf>
    <xf numFmtId="167" fontId="0" fillId="19" borderId="174" xfId="13" applyNumberFormat="1" applyFont="1" applyFill="1" applyBorder="1" applyAlignment="1" applyProtection="1">
      <alignment vertical="center"/>
    </xf>
    <xf numFmtId="167" fontId="0" fillId="19" borderId="175" xfId="13" applyNumberFormat="1" applyFont="1" applyFill="1" applyBorder="1" applyAlignment="1" applyProtection="1">
      <alignment vertical="center"/>
    </xf>
    <xf numFmtId="167" fontId="14" fillId="19" borderId="148" xfId="13" applyNumberFormat="1" applyFont="1" applyFill="1" applyBorder="1" applyAlignment="1" applyProtection="1">
      <alignment vertical="center"/>
    </xf>
    <xf numFmtId="167" fontId="14" fillId="0" borderId="176" xfId="13" applyNumberFormat="1" applyFont="1" applyFill="1" applyBorder="1" applyAlignment="1" applyProtection="1">
      <alignment vertical="center"/>
    </xf>
    <xf numFmtId="0" fontId="14" fillId="15" borderId="177" xfId="0" applyFont="1" applyFill="1" applyBorder="1" applyAlignment="1" applyProtection="1">
      <alignment horizontal="center" vertical="center"/>
    </xf>
    <xf numFmtId="167" fontId="23" fillId="15" borderId="178" xfId="13" applyNumberFormat="1" applyFont="1" applyFill="1" applyBorder="1" applyAlignment="1" applyProtection="1">
      <alignment vertical="center"/>
    </xf>
    <xf numFmtId="167" fontId="14" fillId="39" borderId="149" xfId="13" applyNumberFormat="1" applyFont="1" applyFill="1" applyBorder="1" applyAlignment="1" applyProtection="1">
      <alignment horizontal="right" vertical="center"/>
    </xf>
    <xf numFmtId="167" fontId="14" fillId="39" borderId="179" xfId="13" applyNumberFormat="1" applyFont="1" applyFill="1" applyBorder="1" applyAlignment="1" applyProtection="1">
      <alignment horizontal="right" vertical="center"/>
    </xf>
    <xf numFmtId="167" fontId="14" fillId="39" borderId="180" xfId="13" applyNumberFormat="1" applyFont="1" applyFill="1" applyBorder="1" applyAlignment="1" applyProtection="1">
      <alignment vertical="center"/>
    </xf>
    <xf numFmtId="167" fontId="14" fillId="39" borderId="116" xfId="13" applyNumberFormat="1" applyFont="1" applyFill="1" applyBorder="1" applyAlignment="1" applyProtection="1">
      <alignment horizontal="right" vertical="center"/>
    </xf>
    <xf numFmtId="169" fontId="0" fillId="45" borderId="108" xfId="13" applyNumberFormat="1" applyFont="1" applyFill="1" applyBorder="1" applyAlignment="1" applyProtection="1">
      <alignment horizontal="center" vertical="center"/>
    </xf>
    <xf numFmtId="166" fontId="0" fillId="0" borderId="112" xfId="13" applyNumberFormat="1" applyFont="1" applyFill="1" applyBorder="1" applyAlignment="1" applyProtection="1">
      <alignment vertical="center"/>
    </xf>
    <xf numFmtId="166" fontId="0" fillId="0" borderId="186" xfId="13" applyNumberFormat="1" applyFont="1" applyFill="1" applyBorder="1" applyAlignment="1" applyProtection="1">
      <alignment vertical="center"/>
    </xf>
    <xf numFmtId="166" fontId="0" fillId="0" borderId="113" xfId="13" applyNumberFormat="1" applyFont="1" applyFill="1" applyBorder="1" applyAlignment="1" applyProtection="1">
      <alignment vertical="center"/>
    </xf>
    <xf numFmtId="167" fontId="0" fillId="29" borderId="105" xfId="13" applyNumberFormat="1" applyFont="1" applyFill="1" applyBorder="1" applyAlignment="1" applyProtection="1">
      <alignment vertical="center"/>
    </xf>
    <xf numFmtId="167" fontId="0" fillId="29" borderId="50" xfId="13" applyNumberFormat="1" applyFont="1" applyFill="1" applyBorder="1" applyAlignment="1" applyProtection="1">
      <alignment vertical="center"/>
    </xf>
    <xf numFmtId="167" fontId="0" fillId="29" borderId="103" xfId="13" applyNumberFormat="1" applyFont="1" applyFill="1" applyBorder="1" applyAlignment="1" applyProtection="1">
      <alignment vertical="center"/>
    </xf>
    <xf numFmtId="167" fontId="0" fillId="29" borderId="104" xfId="13" applyNumberFormat="1" applyFont="1" applyFill="1" applyBorder="1" applyAlignment="1" applyProtection="1">
      <alignment vertical="center"/>
    </xf>
    <xf numFmtId="167" fontId="0" fillId="29" borderId="106" xfId="13" applyNumberFormat="1" applyFont="1" applyFill="1" applyBorder="1" applyAlignment="1" applyProtection="1">
      <alignment vertical="center"/>
    </xf>
    <xf numFmtId="167" fontId="0" fillId="29" borderId="107" xfId="13" applyNumberFormat="1" applyFont="1" applyFill="1" applyBorder="1" applyAlignment="1" applyProtection="1">
      <alignment vertical="center"/>
    </xf>
    <xf numFmtId="167" fontId="0" fillId="29" borderId="110" xfId="13" applyNumberFormat="1" applyFont="1" applyFill="1" applyBorder="1" applyAlignment="1" applyProtection="1">
      <alignment vertical="center"/>
    </xf>
    <xf numFmtId="167" fontId="0" fillId="29" borderId="108" xfId="13" applyNumberFormat="1" applyFont="1" applyFill="1" applyBorder="1" applyAlignment="1" applyProtection="1">
      <alignment vertical="center"/>
    </xf>
    <xf numFmtId="167" fontId="0" fillId="29" borderId="109" xfId="13" applyNumberFormat="1" applyFont="1" applyFill="1" applyBorder="1" applyAlignment="1" applyProtection="1">
      <alignment vertical="center"/>
    </xf>
    <xf numFmtId="167" fontId="0" fillId="36" borderId="110" xfId="13" applyNumberFormat="1" applyFont="1" applyFill="1" applyBorder="1" applyAlignment="1" applyProtection="1">
      <alignment vertical="center"/>
    </xf>
    <xf numFmtId="167" fontId="0" fillId="36" borderId="108" xfId="13" applyNumberFormat="1" applyFont="1" applyFill="1" applyBorder="1" applyAlignment="1" applyProtection="1">
      <alignment vertical="center"/>
    </xf>
    <xf numFmtId="167" fontId="0" fillId="36" borderId="101" xfId="13" applyNumberFormat="1" applyFont="1" applyFill="1" applyBorder="1" applyAlignment="1" applyProtection="1">
      <alignment vertical="center"/>
    </xf>
    <xf numFmtId="167" fontId="0" fillId="0" borderId="110" xfId="13" applyNumberFormat="1" applyFont="1" applyFill="1" applyBorder="1" applyAlignment="1" applyProtection="1">
      <alignment vertical="center"/>
    </xf>
    <xf numFmtId="167" fontId="0" fillId="0" borderId="108" xfId="13" applyNumberFormat="1" applyFont="1" applyFill="1" applyBorder="1" applyAlignment="1" applyProtection="1">
      <alignment vertical="center"/>
    </xf>
    <xf numFmtId="169" fontId="0" fillId="0" borderId="108" xfId="0" applyNumberFormat="1" applyFont="1" applyFill="1" applyBorder="1" applyAlignment="1" applyProtection="1">
      <alignment horizontal="center" vertical="center"/>
    </xf>
    <xf numFmtId="169" fontId="0" fillId="0" borderId="109" xfId="0" applyNumberFormat="1" applyFont="1" applyFill="1" applyBorder="1" applyAlignment="1" applyProtection="1">
      <alignment horizontal="center" vertical="center"/>
    </xf>
    <xf numFmtId="167" fontId="14" fillId="34" borderId="187" xfId="0" applyNumberFormat="1" applyFont="1" applyFill="1" applyBorder="1" applyAlignment="1" applyProtection="1">
      <alignment horizontal="center" vertical="center" wrapText="1"/>
    </xf>
    <xf numFmtId="167" fontId="14" fillId="34" borderId="188" xfId="0" applyNumberFormat="1" applyFont="1" applyFill="1" applyBorder="1" applyAlignment="1" applyProtection="1">
      <alignment horizontal="center" vertical="center" wrapText="1"/>
    </xf>
    <xf numFmtId="167" fontId="14" fillId="34" borderId="189" xfId="0" applyNumberFormat="1" applyFont="1" applyFill="1" applyBorder="1" applyAlignment="1" applyProtection="1">
      <alignment horizontal="center" vertical="center" wrapText="1"/>
    </xf>
    <xf numFmtId="167" fontId="14" fillId="15" borderId="190" xfId="0" applyNumberFormat="1" applyFont="1" applyFill="1" applyBorder="1" applyAlignment="1" applyProtection="1">
      <alignment horizontal="center" vertical="center" wrapText="1"/>
    </xf>
    <xf numFmtId="167" fontId="14" fillId="15" borderId="188" xfId="0" applyNumberFormat="1" applyFont="1" applyFill="1" applyBorder="1" applyAlignment="1" applyProtection="1">
      <alignment horizontal="center" vertical="center" wrapText="1"/>
    </xf>
    <xf numFmtId="167" fontId="14" fillId="15" borderId="191" xfId="0" applyNumberFormat="1" applyFont="1" applyFill="1" applyBorder="1" applyAlignment="1" applyProtection="1">
      <alignment horizontal="center" vertical="center" wrapText="1"/>
    </xf>
    <xf numFmtId="0" fontId="14" fillId="15" borderId="187" xfId="0" applyFont="1" applyFill="1" applyBorder="1" applyAlignment="1" applyProtection="1">
      <alignment horizontal="center" vertical="center"/>
    </xf>
    <xf numFmtId="0" fontId="14" fillId="15" borderId="192" xfId="0" applyFont="1" applyFill="1" applyBorder="1" applyAlignment="1" applyProtection="1">
      <alignment horizontal="center" vertical="center"/>
    </xf>
    <xf numFmtId="166" fontId="0" fillId="0" borderId="193" xfId="13" applyNumberFormat="1" applyFont="1" applyFill="1" applyBorder="1" applyAlignment="1" applyProtection="1">
      <alignment vertical="center"/>
    </xf>
    <xf numFmtId="166" fontId="0" fillId="0" borderId="194" xfId="13" applyNumberFormat="1" applyFont="1" applyFill="1" applyBorder="1" applyAlignment="1" applyProtection="1">
      <alignment vertical="center"/>
    </xf>
    <xf numFmtId="166" fontId="0" fillId="0" borderId="195" xfId="13" applyNumberFormat="1" applyFont="1" applyFill="1" applyBorder="1" applyAlignment="1" applyProtection="1">
      <alignment vertical="center"/>
    </xf>
    <xf numFmtId="179" fontId="15" fillId="36" borderId="50" xfId="16" applyNumberFormat="1" applyFill="1" applyBorder="1" applyAlignment="1" applyProtection="1">
      <alignment horizontal="center" vertical="center"/>
    </xf>
    <xf numFmtId="179" fontId="15" fillId="36" borderId="107" xfId="16" applyNumberFormat="1" applyFill="1" applyBorder="1" applyAlignment="1" applyProtection="1">
      <alignment horizontal="center" vertical="center"/>
    </xf>
    <xf numFmtId="167" fontId="0" fillId="29" borderId="133" xfId="13" applyNumberFormat="1" applyFont="1" applyFill="1" applyBorder="1" applyAlignment="1" applyProtection="1">
      <alignment vertical="center"/>
    </xf>
    <xf numFmtId="167" fontId="0" fillId="29" borderId="134" xfId="13" applyNumberFormat="1" applyFont="1" applyFill="1" applyBorder="1" applyAlignment="1" applyProtection="1">
      <alignment vertical="center"/>
    </xf>
    <xf numFmtId="167" fontId="0" fillId="29" borderId="135" xfId="13" applyNumberFormat="1" applyFont="1" applyFill="1" applyBorder="1" applyAlignment="1" applyProtection="1">
      <alignment vertical="center"/>
    </xf>
    <xf numFmtId="167" fontId="15" fillId="0" borderId="54" xfId="13" applyNumberFormat="1" applyFont="1" applyFill="1" applyBorder="1" applyAlignment="1" applyProtection="1">
      <alignment vertical="center"/>
    </xf>
    <xf numFmtId="167" fontId="14" fillId="39" borderId="111" xfId="13" applyNumberFormat="1" applyFont="1" applyFill="1" applyBorder="1" applyAlignment="1" applyProtection="1">
      <alignment vertical="center"/>
    </xf>
    <xf numFmtId="167" fontId="14" fillId="39" borderId="179" xfId="13" applyNumberFormat="1" applyFont="1" applyFill="1" applyBorder="1" applyAlignment="1" applyProtection="1">
      <alignment vertical="center"/>
    </xf>
    <xf numFmtId="167" fontId="14" fillId="39" borderId="127" xfId="13" applyNumberFormat="1" applyFont="1" applyFill="1" applyBorder="1" applyAlignment="1" applyProtection="1">
      <alignment vertical="center"/>
    </xf>
    <xf numFmtId="172" fontId="0" fillId="0" borderId="115" xfId="12" applyNumberFormat="1" applyFont="1" applyFill="1" applyBorder="1" applyAlignment="1" applyProtection="1">
      <alignment vertical="center"/>
    </xf>
    <xf numFmtId="167" fontId="0" fillId="0" borderId="85" xfId="13" applyNumberFormat="1" applyFont="1" applyFill="1" applyBorder="1" applyAlignment="1" applyProtection="1">
      <alignment vertical="center"/>
    </xf>
    <xf numFmtId="167" fontId="0" fillId="0" borderId="159" xfId="13" applyNumberFormat="1" applyFont="1" applyFill="1" applyBorder="1" applyAlignment="1" applyProtection="1">
      <alignment vertical="center"/>
    </xf>
    <xf numFmtId="167" fontId="0" fillId="0" borderId="138" xfId="13" applyNumberFormat="1" applyFont="1" applyFill="1" applyBorder="1" applyAlignment="1" applyProtection="1">
      <alignment vertical="center"/>
    </xf>
    <xf numFmtId="167" fontId="23" fillId="31" borderId="183" xfId="13" applyNumberFormat="1" applyFont="1" applyFill="1" applyBorder="1" applyAlignment="1" applyProtection="1">
      <alignment vertical="center" wrapText="1"/>
    </xf>
    <xf numFmtId="167" fontId="23" fillId="31" borderId="131" xfId="13" applyNumberFormat="1" applyFont="1" applyFill="1" applyBorder="1" applyAlignment="1" applyProtection="1">
      <alignment vertical="center" wrapText="1"/>
    </xf>
    <xf numFmtId="176" fontId="24" fillId="26" borderId="63" xfId="0" applyNumberFormat="1" applyFont="1" applyFill="1" applyBorder="1" applyAlignment="1" applyProtection="1">
      <alignment horizontal="right" vertical="center"/>
    </xf>
    <xf numFmtId="9" fontId="0" fillId="12" borderId="111" xfId="0" applyNumberFormat="1" applyFont="1" applyFill="1" applyBorder="1" applyAlignment="1" applyProtection="1">
      <alignment horizontal="center" vertical="center"/>
      <protection locked="0"/>
    </xf>
    <xf numFmtId="176" fontId="0" fillId="0" borderId="180" xfId="0" applyNumberFormat="1" applyFont="1" applyFill="1" applyBorder="1" applyAlignment="1" applyProtection="1">
      <alignment horizontal="right" vertical="center"/>
    </xf>
    <xf numFmtId="176" fontId="0" fillId="0" borderId="127" xfId="0" applyNumberFormat="1" applyFont="1" applyFill="1" applyBorder="1" applyAlignment="1" applyProtection="1">
      <alignment horizontal="right" vertical="center"/>
    </xf>
    <xf numFmtId="168" fontId="0" fillId="12" borderId="197" xfId="16" applyFont="1" applyFill="1" applyBorder="1" applyAlignment="1" applyProtection="1">
      <alignment horizontal="center" vertical="center"/>
      <protection locked="0"/>
    </xf>
    <xf numFmtId="168" fontId="16" fillId="19" borderId="52" xfId="16" applyFont="1" applyFill="1" applyBorder="1" applyAlignment="1" applyProtection="1">
      <alignment horizontal="center" vertical="center"/>
    </xf>
    <xf numFmtId="176" fontId="24" fillId="26" borderId="53" xfId="0" applyNumberFormat="1" applyFont="1" applyFill="1" applyBorder="1" applyAlignment="1" applyProtection="1">
      <alignment horizontal="right" vertical="center"/>
    </xf>
    <xf numFmtId="0" fontId="19" fillId="33" borderId="28" xfId="0" applyFont="1" applyFill="1" applyBorder="1" applyAlignment="1" applyProtection="1">
      <alignment horizontal="center" vertical="center" wrapText="1"/>
    </xf>
    <xf numFmtId="0" fontId="19" fillId="48" borderId="29" xfId="0" applyFont="1" applyFill="1" applyBorder="1" applyAlignment="1" applyProtection="1">
      <alignment vertical="center"/>
    </xf>
    <xf numFmtId="166" fontId="19" fillId="48" borderId="105" xfId="13" applyNumberFormat="1" applyFont="1" applyFill="1" applyBorder="1" applyAlignment="1" applyProtection="1">
      <alignment vertical="center"/>
    </xf>
    <xf numFmtId="174" fontId="20" fillId="0" borderId="154" xfId="0" applyNumberFormat="1" applyFont="1" applyBorder="1" applyAlignment="1">
      <alignment horizontal="left"/>
    </xf>
    <xf numFmtId="0" fontId="14" fillId="0" borderId="207" xfId="0" applyFont="1" applyFill="1" applyBorder="1" applyAlignment="1" applyProtection="1">
      <alignment horizontal="left" vertical="center"/>
    </xf>
    <xf numFmtId="167" fontId="0" fillId="10" borderId="213" xfId="13" applyNumberFormat="1" applyFont="1" applyFill="1" applyBorder="1" applyAlignment="1" applyProtection="1">
      <alignment horizontal="right" vertical="center"/>
    </xf>
    <xf numFmtId="167" fontId="0" fillId="10" borderId="214" xfId="13" applyNumberFormat="1" applyFont="1" applyFill="1" applyBorder="1" applyAlignment="1" applyProtection="1">
      <alignment horizontal="right" vertical="center"/>
    </xf>
    <xf numFmtId="167" fontId="14" fillId="39" borderId="109" xfId="13" applyNumberFormat="1" applyFont="1" applyFill="1" applyBorder="1" applyAlignment="1" applyProtection="1">
      <alignment horizontal="right" vertical="center"/>
    </xf>
    <xf numFmtId="167" fontId="0" fillId="10" borderId="205" xfId="13" applyNumberFormat="1" applyFont="1" applyFill="1" applyBorder="1" applyAlignment="1" applyProtection="1">
      <alignment horizontal="right" vertical="center"/>
    </xf>
    <xf numFmtId="167" fontId="0" fillId="10" borderId="212" xfId="13" applyNumberFormat="1" applyFont="1" applyFill="1" applyBorder="1" applyAlignment="1" applyProtection="1">
      <alignment horizontal="right" vertical="center"/>
    </xf>
    <xf numFmtId="0" fontId="0" fillId="12" borderId="50" xfId="0" applyFont="1" applyFill="1" applyBorder="1" applyAlignment="1" applyProtection="1">
      <alignment horizontal="left" vertical="center"/>
      <protection locked="0"/>
    </xf>
    <xf numFmtId="42" fontId="0" fillId="45" borderId="205" xfId="31" applyFont="1" applyFill="1" applyBorder="1" applyAlignment="1" applyProtection="1">
      <alignment horizontal="center" vertical="center"/>
    </xf>
    <xf numFmtId="174" fontId="20" fillId="0" borderId="154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12" borderId="205" xfId="13" applyNumberFormat="1" applyFont="1" applyFill="1" applyBorder="1" applyAlignment="1" applyProtection="1">
      <alignment vertical="center"/>
      <protection locked="0"/>
    </xf>
    <xf numFmtId="0" fontId="0" fillId="12" borderId="108" xfId="0" applyFont="1" applyFill="1" applyBorder="1" applyAlignment="1" applyProtection="1">
      <alignment horizontal="left" vertical="center"/>
      <protection locked="0"/>
    </xf>
    <xf numFmtId="177" fontId="0" fillId="12" borderId="108" xfId="13" applyNumberFormat="1" applyFont="1" applyFill="1" applyBorder="1" applyAlignment="1" applyProtection="1">
      <alignment vertical="center"/>
      <protection locked="0"/>
    </xf>
    <xf numFmtId="0" fontId="0" fillId="12" borderId="205" xfId="0" applyFont="1" applyFill="1" applyBorder="1" applyAlignment="1" applyProtection="1">
      <alignment horizontal="left" vertical="center"/>
      <protection locked="0"/>
    </xf>
    <xf numFmtId="167" fontId="0" fillId="29" borderId="110" xfId="13" applyNumberFormat="1" applyFont="1" applyFill="1" applyBorder="1" applyAlignment="1" applyProtection="1">
      <alignment vertical="center"/>
    </xf>
    <xf numFmtId="167" fontId="0" fillId="29" borderId="108" xfId="13" applyNumberFormat="1" applyFont="1" applyFill="1" applyBorder="1" applyAlignment="1" applyProtection="1">
      <alignment vertical="center"/>
    </xf>
    <xf numFmtId="167" fontId="0" fillId="29" borderId="109" xfId="13" applyNumberFormat="1" applyFont="1" applyFill="1" applyBorder="1" applyAlignment="1" applyProtection="1">
      <alignment vertical="center"/>
    </xf>
    <xf numFmtId="167" fontId="0" fillId="29" borderId="101" xfId="13" applyNumberFormat="1" applyFont="1" applyFill="1" applyBorder="1" applyAlignment="1" applyProtection="1">
      <alignment vertical="center"/>
    </xf>
    <xf numFmtId="179" fontId="15" fillId="36" borderId="110" xfId="16" applyNumberFormat="1" applyFill="1" applyBorder="1" applyAlignment="1" applyProtection="1">
      <alignment horizontal="center" vertical="center"/>
    </xf>
    <xf numFmtId="179" fontId="15" fillId="36" borderId="108" xfId="16" applyNumberFormat="1" applyFill="1" applyBorder="1" applyAlignment="1" applyProtection="1">
      <alignment horizontal="center" vertical="center"/>
    </xf>
    <xf numFmtId="0" fontId="0" fillId="12" borderId="217" xfId="0" applyFont="1" applyFill="1" applyBorder="1" applyAlignment="1" applyProtection="1">
      <alignment horizontal="left" vertical="center"/>
      <protection locked="0"/>
    </xf>
    <xf numFmtId="177" fontId="0" fillId="12" borderId="217" xfId="13" applyNumberFormat="1" applyFont="1" applyFill="1" applyBorder="1" applyAlignment="1" applyProtection="1">
      <alignment vertical="center"/>
      <protection locked="0"/>
    </xf>
    <xf numFmtId="0" fontId="0" fillId="12" borderId="110" xfId="0" applyFont="1" applyFill="1" applyBorder="1" applyAlignment="1" applyProtection="1">
      <alignment horizontal="left" vertical="center"/>
      <protection locked="0"/>
    </xf>
    <xf numFmtId="167" fontId="0" fillId="12" borderId="109" xfId="13" applyNumberFormat="1" applyFont="1" applyFill="1" applyBorder="1" applyAlignment="1" applyProtection="1">
      <alignment vertical="center"/>
      <protection locked="0"/>
    </xf>
    <xf numFmtId="179" fontId="15" fillId="36" borderId="109" xfId="16" applyNumberFormat="1" applyFill="1" applyBorder="1" applyAlignment="1" applyProtection="1">
      <alignment horizontal="center" vertical="center"/>
    </xf>
    <xf numFmtId="178" fontId="0" fillId="12" borderId="217" xfId="13" applyNumberFormat="1" applyFont="1" applyFill="1" applyBorder="1" applyAlignment="1" applyProtection="1">
      <alignment horizontal="center" vertical="center"/>
      <protection locked="0"/>
    </xf>
    <xf numFmtId="167" fontId="0" fillId="12" borderId="205" xfId="13" applyNumberFormat="1" applyFont="1" applyFill="1" applyBorder="1" applyAlignment="1" applyProtection="1">
      <alignment vertical="center"/>
      <protection locked="0"/>
    </xf>
    <xf numFmtId="167" fontId="20" fillId="12" borderId="205" xfId="13" applyNumberFormat="1" applyFont="1" applyFill="1" applyBorder="1" applyAlignment="1" applyProtection="1">
      <alignment vertical="center"/>
      <protection locked="0"/>
    </xf>
    <xf numFmtId="175" fontId="20" fillId="12" borderId="205" xfId="12" applyNumberFormat="1" applyFont="1" applyFill="1" applyBorder="1" applyAlignment="1" applyProtection="1">
      <alignment vertical="center"/>
      <protection locked="0"/>
    </xf>
    <xf numFmtId="0" fontId="14" fillId="62" borderId="222" xfId="0" applyFont="1" applyFill="1" applyBorder="1" applyAlignment="1" applyProtection="1">
      <alignment horizontal="center" vertical="center"/>
    </xf>
    <xf numFmtId="0" fontId="12" fillId="63" borderId="154" xfId="0" applyFont="1" applyFill="1" applyBorder="1" applyAlignment="1" applyProtection="1">
      <alignment horizontal="left" vertical="center"/>
    </xf>
    <xf numFmtId="167" fontId="12" fillId="63" borderId="105" xfId="13" applyNumberFormat="1" applyFont="1" applyFill="1" applyBorder="1" applyAlignment="1" applyProtection="1">
      <alignment horizontal="center" vertical="center"/>
    </xf>
    <xf numFmtId="167" fontId="12" fillId="24" borderId="105" xfId="13" applyNumberFormat="1" applyFont="1" applyFill="1" applyBorder="1" applyAlignment="1" applyProtection="1">
      <alignment vertical="center"/>
    </xf>
    <xf numFmtId="167" fontId="14" fillId="24" borderId="105" xfId="13" applyNumberFormat="1" applyFont="1" applyFill="1" applyBorder="1" applyAlignment="1" applyProtection="1">
      <alignment vertical="center"/>
    </xf>
    <xf numFmtId="167" fontId="12" fillId="63" borderId="175" xfId="13" applyNumberFormat="1" applyFont="1" applyFill="1" applyBorder="1" applyAlignment="1" applyProtection="1">
      <alignment horizontal="center" vertical="center"/>
    </xf>
    <xf numFmtId="0" fontId="0" fillId="1" borderId="0" xfId="0" applyFill="1" applyAlignment="1" applyProtection="1">
      <alignment vertical="center"/>
    </xf>
    <xf numFmtId="0" fontId="14" fillId="64" borderId="143" xfId="0" applyFont="1" applyFill="1" applyBorder="1" applyAlignment="1" applyProtection="1">
      <alignment horizontal="center" vertical="center" wrapText="1"/>
    </xf>
    <xf numFmtId="0" fontId="12" fillId="64" borderId="154" xfId="0" applyFont="1" applyFill="1" applyBorder="1" applyAlignment="1" applyProtection="1">
      <alignment horizontal="left" vertical="center"/>
    </xf>
    <xf numFmtId="167" fontId="12" fillId="64" borderId="105" xfId="13" applyNumberFormat="1" applyFont="1" applyFill="1" applyBorder="1" applyAlignment="1" applyProtection="1">
      <alignment horizontal="center" vertical="center"/>
    </xf>
    <xf numFmtId="167" fontId="12" fillId="22" borderId="105" xfId="13" applyNumberFormat="1" applyFont="1" applyFill="1" applyBorder="1" applyAlignment="1" applyProtection="1">
      <alignment vertical="center"/>
    </xf>
    <xf numFmtId="167" fontId="14" fillId="22" borderId="105" xfId="13" applyNumberFormat="1" applyFont="1" applyFill="1" applyBorder="1" applyAlignment="1" applyProtection="1">
      <alignment vertical="center"/>
    </xf>
    <xf numFmtId="167" fontId="12" fillId="64" borderId="143" xfId="13" applyNumberFormat="1" applyFont="1" applyFill="1" applyBorder="1" applyAlignment="1" applyProtection="1">
      <alignment horizontal="center" vertical="center"/>
    </xf>
    <xf numFmtId="1" fontId="0" fillId="1" borderId="143" xfId="0" applyNumberFormat="1" applyFill="1" applyBorder="1" applyAlignment="1" applyProtection="1">
      <alignment horizontal="center" vertical="center" wrapText="1"/>
    </xf>
    <xf numFmtId="174" fontId="20" fillId="1" borderId="154" xfId="0" applyNumberFormat="1" applyFont="1" applyFill="1" applyBorder="1" applyAlignment="1" applyProtection="1">
      <alignment horizontal="left"/>
    </xf>
    <xf numFmtId="167" fontId="0" fillId="55" borderId="105" xfId="13" applyNumberFormat="1" applyFont="1" applyFill="1" applyBorder="1" applyAlignment="1" applyProtection="1">
      <alignment vertical="center"/>
    </xf>
    <xf numFmtId="167" fontId="20" fillId="1" borderId="105" xfId="13" applyNumberFormat="1" applyFont="1" applyFill="1" applyBorder="1" applyAlignment="1" applyProtection="1">
      <alignment vertical="center"/>
    </xf>
    <xf numFmtId="175" fontId="20" fillId="1" borderId="105" xfId="12" applyNumberFormat="1" applyFont="1" applyFill="1" applyBorder="1" applyAlignment="1" applyProtection="1">
      <alignment vertical="center"/>
    </xf>
    <xf numFmtId="167" fontId="20" fillId="56" borderId="105" xfId="13" applyNumberFormat="1" applyFont="1" applyFill="1" applyBorder="1" applyAlignment="1" applyProtection="1">
      <alignment vertical="center"/>
    </xf>
    <xf numFmtId="167" fontId="12" fillId="65" borderId="175" xfId="13" applyNumberFormat="1" applyFont="1" applyFill="1" applyBorder="1" applyAlignment="1" applyProtection="1">
      <alignment vertical="center"/>
    </xf>
    <xf numFmtId="167" fontId="0" fillId="54" borderId="105" xfId="13" applyNumberFormat="1" applyFont="1" applyFill="1" applyBorder="1" applyAlignment="1" applyProtection="1">
      <alignment vertical="center"/>
    </xf>
    <xf numFmtId="167" fontId="20" fillId="54" borderId="105" xfId="13" applyNumberFormat="1" applyFont="1" applyFill="1" applyBorder="1" applyAlignment="1" applyProtection="1">
      <alignment vertical="center"/>
    </xf>
    <xf numFmtId="175" fontId="20" fillId="54" borderId="105" xfId="12" applyNumberFormat="1" applyFont="1" applyFill="1" applyBorder="1" applyAlignment="1" applyProtection="1">
      <alignment vertical="center"/>
    </xf>
    <xf numFmtId="1" fontId="0" fillId="1" borderId="223" xfId="0" applyNumberFormat="1" applyFill="1" applyBorder="1" applyAlignment="1" applyProtection="1">
      <alignment horizontal="center"/>
    </xf>
    <xf numFmtId="1" fontId="0" fillId="1" borderId="145" xfId="0" applyNumberFormat="1" applyFill="1" applyBorder="1" applyProtection="1"/>
    <xf numFmtId="174" fontId="31" fillId="1" borderId="154" xfId="0" applyNumberFormat="1" applyFont="1" applyFill="1" applyBorder="1" applyAlignment="1" applyProtection="1">
      <alignment horizontal="left"/>
    </xf>
    <xf numFmtId="167" fontId="0" fillId="52" borderId="105" xfId="13" applyNumberFormat="1" applyFont="1" applyFill="1" applyBorder="1" applyAlignment="1" applyProtection="1">
      <alignment vertical="center"/>
    </xf>
    <xf numFmtId="167" fontId="20" fillId="52" borderId="105" xfId="13" applyNumberFormat="1" applyFont="1" applyFill="1" applyBorder="1" applyAlignment="1" applyProtection="1">
      <alignment vertical="center"/>
    </xf>
    <xf numFmtId="175" fontId="20" fillId="52" borderId="105" xfId="12" applyNumberFormat="1" applyFont="1" applyFill="1" applyBorder="1" applyAlignment="1" applyProtection="1">
      <alignment vertical="center"/>
    </xf>
    <xf numFmtId="167" fontId="12" fillId="63" borderId="143" xfId="13" applyNumberFormat="1" applyFont="1" applyFill="1" applyBorder="1" applyAlignment="1" applyProtection="1">
      <alignment horizontal="center" vertical="center"/>
    </xf>
    <xf numFmtId="167" fontId="12" fillId="64" borderId="105" xfId="13" applyNumberFormat="1" applyFont="1" applyFill="1" applyBorder="1" applyAlignment="1" applyProtection="1">
      <alignment vertical="center"/>
    </xf>
    <xf numFmtId="167" fontId="12" fillId="64" borderId="175" xfId="13" applyNumberFormat="1" applyFont="1" applyFill="1" applyBorder="1" applyAlignment="1" applyProtection="1">
      <alignment vertical="center"/>
    </xf>
    <xf numFmtId="1" fontId="0" fillId="66" borderId="143" xfId="0" applyNumberFormat="1" applyFill="1" applyBorder="1" applyAlignment="1" applyProtection="1">
      <alignment horizontal="center" vertical="center" wrapText="1"/>
    </xf>
    <xf numFmtId="167" fontId="12" fillId="51" borderId="105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4" fontId="20" fillId="1" borderId="200" xfId="0" applyNumberFormat="1" applyFont="1" applyFill="1" applyBorder="1" applyAlignment="1" applyProtection="1">
      <alignment horizontal="left"/>
    </xf>
    <xf numFmtId="167" fontId="12" fillId="65" borderId="201" xfId="13" applyNumberFormat="1" applyFont="1" applyFill="1" applyBorder="1" applyAlignment="1" applyProtection="1">
      <alignment vertical="center"/>
    </xf>
    <xf numFmtId="167" fontId="14" fillId="66" borderId="105" xfId="13" applyNumberFormat="1" applyFont="1" applyFill="1" applyBorder="1" applyAlignment="1" applyProtection="1">
      <alignment horizontal="center" vertical="center"/>
    </xf>
    <xf numFmtId="0" fontId="14" fillId="67" borderId="224" xfId="0" applyFont="1" applyFill="1" applyBorder="1" applyAlignment="1" applyProtection="1">
      <alignment horizontal="center" vertical="center" wrapText="1"/>
    </xf>
    <xf numFmtId="0" fontId="14" fillId="68" borderId="199" xfId="0" applyFont="1" applyFill="1" applyBorder="1" applyAlignment="1" applyProtection="1">
      <alignment vertical="center"/>
    </xf>
    <xf numFmtId="166" fontId="14" fillId="68" borderId="105" xfId="13" applyNumberFormat="1" applyFont="1" applyFill="1" applyBorder="1" applyAlignment="1" applyProtection="1">
      <alignment vertical="center"/>
    </xf>
    <xf numFmtId="166" fontId="14" fillId="32" borderId="105" xfId="13" applyNumberFormat="1" applyFont="1" applyFill="1" applyBorder="1" applyAlignment="1" applyProtection="1">
      <alignment vertical="center"/>
    </xf>
    <xf numFmtId="166" fontId="14" fillId="68" borderId="198" xfId="13" applyNumberFormat="1" applyFont="1" applyFill="1" applyBorder="1" applyAlignment="1" applyProtection="1">
      <alignment vertical="center"/>
    </xf>
    <xf numFmtId="0" fontId="14" fillId="66" borderId="105" xfId="0" applyFont="1" applyFill="1" applyBorder="1" applyAlignment="1" applyProtection="1">
      <alignment horizontal="center" vertical="center"/>
    </xf>
    <xf numFmtId="0" fontId="14" fillId="16" borderId="226" xfId="0" applyFont="1" applyFill="1" applyBorder="1" applyAlignment="1" applyProtection="1">
      <alignment horizontal="center" vertical="center" wrapText="1"/>
    </xf>
    <xf numFmtId="0" fontId="14" fillId="16" borderId="233" xfId="0" applyFont="1" applyFill="1" applyBorder="1" applyAlignment="1" applyProtection="1">
      <alignment horizontal="center" vertical="center" wrapText="1"/>
    </xf>
    <xf numFmtId="0" fontId="0" fillId="12" borderId="213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Protection="1">
      <protection locked="0"/>
    </xf>
    <xf numFmtId="0" fontId="0" fillId="12" borderId="54" xfId="0" applyFont="1" applyFill="1" applyBorder="1" applyProtection="1">
      <protection locked="0"/>
    </xf>
    <xf numFmtId="177" fontId="0" fillId="12" borderId="54" xfId="13" applyNumberFormat="1" applyFont="1" applyFill="1" applyBorder="1" applyAlignment="1" applyProtection="1">
      <alignment vertical="center"/>
      <protection locked="0"/>
    </xf>
    <xf numFmtId="176" fontId="0" fillId="29" borderId="133" xfId="0" applyNumberFormat="1" applyFont="1" applyFill="1" applyBorder="1" applyAlignment="1" applyProtection="1">
      <alignment horizontal="right" vertical="center"/>
    </xf>
    <xf numFmtId="176" fontId="0" fillId="0" borderId="133" xfId="0" applyNumberFormat="1" applyFont="1" applyFill="1" applyBorder="1" applyAlignment="1" applyProtection="1">
      <alignment horizontal="right" vertical="center"/>
    </xf>
    <xf numFmtId="0" fontId="0" fillId="12" borderId="212" xfId="0" applyFont="1" applyFill="1" applyBorder="1" applyAlignment="1" applyProtection="1">
      <alignment horizontal="left" vertical="center"/>
      <protection locked="0"/>
    </xf>
    <xf numFmtId="0" fontId="0" fillId="12" borderId="205" xfId="0" applyFont="1" applyFill="1" applyBorder="1" applyProtection="1">
      <protection locked="0"/>
    </xf>
    <xf numFmtId="0" fontId="0" fillId="12" borderId="203" xfId="0" applyFont="1" applyFill="1" applyBorder="1" applyProtection="1">
      <protection locked="0"/>
    </xf>
    <xf numFmtId="177" fontId="0" fillId="12" borderId="203" xfId="13" applyNumberFormat="1" applyFont="1" applyFill="1" applyBorder="1" applyAlignment="1" applyProtection="1">
      <alignment vertical="center"/>
      <protection locked="0"/>
    </xf>
    <xf numFmtId="176" fontId="0" fillId="29" borderId="134" xfId="0" applyNumberFormat="1" applyFont="1" applyFill="1" applyBorder="1" applyAlignment="1" applyProtection="1">
      <alignment horizontal="right" vertical="center"/>
    </xf>
    <xf numFmtId="176" fontId="0" fillId="0" borderId="134" xfId="0" applyNumberFormat="1" applyFont="1" applyFill="1" applyBorder="1" applyAlignment="1" applyProtection="1">
      <alignment horizontal="right" vertical="center"/>
    </xf>
    <xf numFmtId="0" fontId="0" fillId="12" borderId="122" xfId="0" applyFont="1" applyFill="1" applyBorder="1" applyAlignment="1" applyProtection="1">
      <alignment horizontal="left" vertical="center"/>
      <protection locked="0"/>
    </xf>
    <xf numFmtId="0" fontId="0" fillId="12" borderId="108" xfId="0" applyFont="1" applyFill="1" applyBorder="1" applyProtection="1">
      <protection locked="0"/>
    </xf>
    <xf numFmtId="0" fontId="0" fillId="12" borderId="101" xfId="0" applyFont="1" applyFill="1" applyBorder="1" applyProtection="1">
      <protection locked="0"/>
    </xf>
    <xf numFmtId="177" fontId="0" fillId="12" borderId="101" xfId="13" applyNumberFormat="1" applyFont="1" applyFill="1" applyBorder="1" applyAlignment="1" applyProtection="1">
      <alignment vertical="center"/>
      <protection locked="0"/>
    </xf>
    <xf numFmtId="176" fontId="0" fillId="29" borderId="135" xfId="0" applyNumberFormat="1" applyFont="1" applyFill="1" applyBorder="1" applyAlignment="1" applyProtection="1">
      <alignment horizontal="right" vertical="center"/>
    </xf>
    <xf numFmtId="176" fontId="0" fillId="0" borderId="135" xfId="0" applyNumberFormat="1" applyFont="1" applyFill="1" applyBorder="1" applyAlignment="1" applyProtection="1">
      <alignment horizontal="right" vertical="center"/>
    </xf>
    <xf numFmtId="167" fontId="0" fillId="69" borderId="106" xfId="13" applyNumberFormat="1" applyFont="1" applyFill="1" applyBorder="1" applyAlignment="1" applyProtection="1">
      <alignment vertical="center"/>
    </xf>
    <xf numFmtId="167" fontId="0" fillId="69" borderId="105" xfId="13" applyNumberFormat="1" applyFont="1" applyFill="1" applyBorder="1" applyAlignment="1" applyProtection="1">
      <alignment vertical="center"/>
    </xf>
    <xf numFmtId="167" fontId="0" fillId="69" borderId="107" xfId="13" applyNumberFormat="1" applyFont="1" applyFill="1" applyBorder="1" applyAlignment="1" applyProtection="1">
      <alignment vertical="center"/>
    </xf>
    <xf numFmtId="167" fontId="0" fillId="69" borderId="148" xfId="13" applyNumberFormat="1" applyFont="1" applyFill="1" applyBorder="1" applyAlignment="1" applyProtection="1">
      <alignment vertical="center"/>
    </xf>
    <xf numFmtId="175" fontId="15" fillId="12" borderId="205" xfId="12" applyNumberFormat="1" applyFill="1" applyBorder="1" applyProtection="1">
      <protection locked="0"/>
    </xf>
    <xf numFmtId="179" fontId="15" fillId="53" borderId="106" xfId="16" applyNumberFormat="1" applyFill="1" applyBorder="1" applyAlignment="1" applyProtection="1">
      <alignment horizontal="center" vertical="center"/>
    </xf>
    <xf numFmtId="179" fontId="15" fillId="53" borderId="105" xfId="16" applyNumberFormat="1" applyFill="1" applyBorder="1" applyAlignment="1" applyProtection="1">
      <alignment horizontal="center" vertical="center"/>
    </xf>
    <xf numFmtId="179" fontId="15" fillId="53" borderId="107" xfId="16" applyNumberFormat="1" applyFill="1" applyBorder="1" applyAlignment="1" applyProtection="1">
      <alignment horizontal="center" vertical="center"/>
    </xf>
    <xf numFmtId="0" fontId="0" fillId="54" borderId="106" xfId="0" applyFont="1" applyFill="1" applyBorder="1" applyAlignment="1" applyProtection="1">
      <alignment horizontal="left" vertical="center"/>
    </xf>
    <xf numFmtId="167" fontId="0" fillId="54" borderId="107" xfId="13" applyNumberFormat="1" applyFont="1" applyFill="1" applyBorder="1" applyAlignment="1" applyProtection="1">
      <alignment vertical="center"/>
    </xf>
    <xf numFmtId="167" fontId="0" fillId="56" borderId="134" xfId="13" applyNumberFormat="1" applyFont="1" applyFill="1" applyBorder="1" applyAlignment="1" applyProtection="1">
      <alignment vertical="center"/>
    </xf>
    <xf numFmtId="0" fontId="14" fillId="16" borderId="202" xfId="0" applyFont="1" applyFill="1" applyBorder="1" applyAlignment="1" applyProtection="1">
      <alignment horizontal="center" vertical="center" wrapText="1"/>
    </xf>
    <xf numFmtId="167" fontId="0" fillId="0" borderId="92" xfId="0" applyNumberFormat="1" applyFill="1" applyBorder="1" applyAlignment="1" applyProtection="1">
      <alignment vertical="center"/>
    </xf>
    <xf numFmtId="167" fontId="0" fillId="0" borderId="216" xfId="13" applyNumberFormat="1" applyFont="1" applyFill="1" applyBorder="1" applyAlignment="1" applyProtection="1">
      <alignment vertical="center"/>
    </xf>
    <xf numFmtId="167" fontId="0" fillId="0" borderId="217" xfId="13" applyNumberFormat="1" applyFont="1" applyFill="1" applyBorder="1" applyAlignment="1" applyProtection="1">
      <alignment vertical="center"/>
    </xf>
    <xf numFmtId="169" fontId="0" fillId="0" borderId="217" xfId="0" applyNumberFormat="1" applyFont="1" applyFill="1" applyBorder="1" applyAlignment="1" applyProtection="1">
      <alignment horizontal="center" vertical="center"/>
    </xf>
    <xf numFmtId="169" fontId="0" fillId="0" borderId="218" xfId="0" applyNumberFormat="1" applyFont="1" applyFill="1" applyBorder="1" applyAlignment="1" applyProtection="1">
      <alignment horizontal="center" vertical="center"/>
    </xf>
    <xf numFmtId="167" fontId="0" fillId="0" borderId="204" xfId="13" applyNumberFormat="1" applyFont="1" applyFill="1" applyBorder="1" applyAlignment="1" applyProtection="1">
      <alignment vertical="center"/>
    </xf>
    <xf numFmtId="167" fontId="0" fillId="0" borderId="205" xfId="13" applyNumberFormat="1" applyFont="1" applyFill="1" applyBorder="1" applyAlignment="1" applyProtection="1">
      <alignment vertical="center"/>
    </xf>
    <xf numFmtId="169" fontId="0" fillId="0" borderId="205" xfId="0" applyNumberFormat="1" applyFont="1" applyFill="1" applyBorder="1" applyAlignment="1" applyProtection="1">
      <alignment horizontal="center" vertical="center"/>
    </xf>
    <xf numFmtId="169" fontId="0" fillId="0" borderId="206" xfId="0" applyNumberFormat="1" applyFont="1" applyFill="1" applyBorder="1" applyAlignment="1" applyProtection="1">
      <alignment horizontal="center" vertical="center"/>
    </xf>
    <xf numFmtId="167" fontId="0" fillId="1" borderId="204" xfId="13" applyNumberFormat="1" applyFont="1" applyFill="1" applyBorder="1" applyAlignment="1" applyProtection="1">
      <alignment vertical="center"/>
    </xf>
    <xf numFmtId="167" fontId="0" fillId="1" borderId="205" xfId="13" applyNumberFormat="1" applyFont="1" applyFill="1" applyBorder="1" applyAlignment="1" applyProtection="1">
      <alignment vertical="center"/>
    </xf>
    <xf numFmtId="167" fontId="0" fillId="1" borderId="203" xfId="13" applyNumberFormat="1" applyFont="1" applyFill="1" applyBorder="1" applyAlignment="1" applyProtection="1">
      <alignment vertical="center"/>
    </xf>
    <xf numFmtId="167" fontId="0" fillId="1" borderId="206" xfId="13" applyNumberFormat="1" applyFont="1" applyFill="1" applyBorder="1" applyAlignment="1" applyProtection="1">
      <alignment vertical="center"/>
    </xf>
    <xf numFmtId="177" fontId="0" fillId="29" borderId="217" xfId="13" applyNumberFormat="1" applyFont="1" applyFill="1" applyBorder="1" applyAlignment="1" applyProtection="1">
      <alignment vertical="center"/>
    </xf>
    <xf numFmtId="177" fontId="0" fillId="29" borderId="218" xfId="13" applyNumberFormat="1" applyFont="1" applyFill="1" applyBorder="1" applyAlignment="1" applyProtection="1">
      <alignment vertical="center"/>
    </xf>
    <xf numFmtId="177" fontId="0" fillId="29" borderId="205" xfId="13" applyNumberFormat="1" applyFont="1" applyFill="1" applyBorder="1" applyAlignment="1" applyProtection="1">
      <alignment vertical="center"/>
    </xf>
    <xf numFmtId="177" fontId="0" fillId="29" borderId="206" xfId="13" applyNumberFormat="1" applyFont="1" applyFill="1" applyBorder="1" applyAlignment="1" applyProtection="1">
      <alignment vertical="center"/>
    </xf>
    <xf numFmtId="177" fontId="0" fillId="29" borderId="213" xfId="13" applyNumberFormat="1" applyFont="1" applyFill="1" applyBorder="1" applyAlignment="1" applyProtection="1">
      <alignment vertical="center"/>
    </xf>
    <xf numFmtId="177" fontId="0" fillId="29" borderId="212" xfId="13" applyNumberFormat="1" applyFont="1" applyFill="1" applyBorder="1" applyAlignment="1" applyProtection="1">
      <alignment vertical="center"/>
    </xf>
    <xf numFmtId="169" fontId="0" fillId="45" borderId="205" xfId="13" applyNumberFormat="1" applyFont="1" applyFill="1" applyBorder="1" applyAlignment="1" applyProtection="1">
      <alignment horizontal="center" vertical="center"/>
    </xf>
    <xf numFmtId="177" fontId="0" fillId="45" borderId="205" xfId="13" applyNumberFormat="1" applyFont="1" applyFill="1" applyBorder="1" applyAlignment="1" applyProtection="1">
      <alignment vertical="center"/>
    </xf>
    <xf numFmtId="0" fontId="0" fillId="45" borderId="234" xfId="0" applyFont="1" applyFill="1" applyBorder="1" applyAlignment="1" applyProtection="1">
      <alignment horizontal="left" vertical="center"/>
    </xf>
    <xf numFmtId="0" fontId="0" fillId="45" borderId="150" xfId="0" applyFont="1" applyFill="1" applyBorder="1" applyAlignment="1" applyProtection="1">
      <alignment horizontal="left" vertical="center"/>
    </xf>
    <xf numFmtId="0" fontId="0" fillId="45" borderId="101" xfId="0" applyFont="1" applyFill="1" applyBorder="1" applyAlignment="1" applyProtection="1">
      <alignment horizontal="left" vertical="center"/>
    </xf>
    <xf numFmtId="177" fontId="0" fillId="45" borderId="216" xfId="13" applyNumberFormat="1" applyFont="1" applyFill="1" applyBorder="1" applyAlignment="1" applyProtection="1">
      <alignment vertical="center"/>
    </xf>
    <xf numFmtId="177" fontId="0" fillId="45" borderId="217" xfId="13" applyNumberFormat="1" applyFont="1" applyFill="1" applyBorder="1" applyAlignment="1" applyProtection="1">
      <alignment vertical="center"/>
    </xf>
    <xf numFmtId="169" fontId="0" fillId="45" borderId="217" xfId="13" applyNumberFormat="1" applyFont="1" applyFill="1" applyBorder="1" applyAlignment="1" applyProtection="1">
      <alignment horizontal="center" vertical="center"/>
    </xf>
    <xf numFmtId="177" fontId="0" fillId="45" borderId="204" xfId="13" applyNumberFormat="1" applyFont="1" applyFill="1" applyBorder="1" applyAlignment="1" applyProtection="1">
      <alignment vertical="center"/>
    </xf>
    <xf numFmtId="177" fontId="0" fillId="29" borderId="108" xfId="13" applyNumberFormat="1" applyFont="1" applyFill="1" applyBorder="1" applyAlignment="1" applyProtection="1">
      <alignment vertical="center"/>
    </xf>
    <xf numFmtId="177" fontId="0" fillId="29" borderId="109" xfId="13" applyNumberFormat="1" applyFont="1" applyFill="1" applyBorder="1" applyAlignment="1" applyProtection="1">
      <alignment vertical="center"/>
    </xf>
    <xf numFmtId="167" fontId="0" fillId="72" borderId="105" xfId="13" applyNumberFormat="1" applyFont="1" applyFill="1" applyBorder="1" applyAlignment="1" applyProtection="1">
      <alignment vertical="center"/>
    </xf>
    <xf numFmtId="180" fontId="15" fillId="54" borderId="105" xfId="13" applyNumberFormat="1" applyFill="1" applyBorder="1" applyProtection="1"/>
    <xf numFmtId="177" fontId="0" fillId="45" borderId="122" xfId="13" applyNumberFormat="1" applyFont="1" applyFill="1" applyBorder="1" applyAlignment="1" applyProtection="1">
      <alignment vertical="center"/>
    </xf>
    <xf numFmtId="0" fontId="2" fillId="43" borderId="0" xfId="37" applyFill="1"/>
    <xf numFmtId="0" fontId="37" fillId="73" borderId="236" xfId="37" applyFont="1" applyFill="1" applyBorder="1" applyAlignment="1">
      <alignment horizontal="center" vertical="center" wrapText="1"/>
    </xf>
    <xf numFmtId="0" fontId="37" fillId="43" borderId="0" xfId="37" applyFont="1" applyFill="1" applyAlignment="1">
      <alignment horizontal="right"/>
    </xf>
    <xf numFmtId="1" fontId="38" fillId="43" borderId="236" xfId="38" applyNumberFormat="1" applyFont="1" applyFill="1" applyBorder="1" applyAlignment="1">
      <alignment horizontal="center" vertical="center"/>
    </xf>
    <xf numFmtId="1" fontId="38" fillId="43" borderId="0" xfId="38" applyNumberFormat="1" applyFont="1" applyFill="1" applyBorder="1" applyAlignment="1">
      <alignment horizontal="center" vertical="center"/>
    </xf>
    <xf numFmtId="0" fontId="37" fillId="46" borderId="0" xfId="37" applyFont="1" applyFill="1" applyAlignment="1">
      <alignment horizontal="left" vertical="center" indent="1"/>
    </xf>
    <xf numFmtId="0" fontId="2" fillId="43" borderId="0" xfId="37" applyFill="1" applyAlignment="1">
      <alignment horizontal="left" indent="2"/>
    </xf>
    <xf numFmtId="185" fontId="2" fillId="43" borderId="0" xfId="37" applyNumberFormat="1" applyFill="1"/>
    <xf numFmtId="185" fontId="37" fillId="43" borderId="0" xfId="37" applyNumberFormat="1" applyFont="1" applyFill="1"/>
    <xf numFmtId="0" fontId="37" fillId="70" borderId="205" xfId="37" applyFont="1" applyFill="1" applyBorder="1" applyAlignment="1">
      <alignment horizontal="left" indent="2"/>
    </xf>
    <xf numFmtId="185" fontId="37" fillId="70" borderId="205" xfId="37" applyNumberFormat="1" applyFont="1" applyFill="1" applyBorder="1"/>
    <xf numFmtId="0" fontId="37" fillId="70" borderId="236" xfId="37" applyFont="1" applyFill="1" applyBorder="1" applyAlignment="1">
      <alignment horizontal="center" vertical="center"/>
    </xf>
    <xf numFmtId="0" fontId="0" fillId="71" borderId="205" xfId="0" applyFont="1" applyFill="1" applyBorder="1" applyAlignment="1" applyProtection="1">
      <alignment horizontal="left" vertical="center"/>
    </xf>
    <xf numFmtId="177" fontId="0" fillId="71" borderId="205" xfId="13" applyNumberFormat="1" applyFont="1" applyFill="1" applyBorder="1" applyAlignment="1" applyProtection="1">
      <alignment vertical="center"/>
    </xf>
    <xf numFmtId="0" fontId="0" fillId="71" borderId="122" xfId="0" applyFont="1" applyFill="1" applyBorder="1" applyAlignment="1" applyProtection="1">
      <alignment horizontal="left" vertical="center"/>
    </xf>
    <xf numFmtId="0" fontId="0" fillId="45" borderId="240" xfId="0" applyFont="1" applyFill="1" applyBorder="1" applyAlignment="1" applyProtection="1">
      <alignment horizontal="left" vertical="center"/>
    </xf>
    <xf numFmtId="169" fontId="0" fillId="45" borderId="210" xfId="13" applyNumberFormat="1" applyFont="1" applyFill="1" applyBorder="1" applyAlignment="1" applyProtection="1">
      <alignment horizontal="center" vertical="center"/>
    </xf>
    <xf numFmtId="177" fontId="0" fillId="45" borderId="227" xfId="13" applyNumberFormat="1" applyFont="1" applyFill="1" applyBorder="1" applyAlignment="1" applyProtection="1">
      <alignment vertical="center"/>
    </xf>
    <xf numFmtId="177" fontId="0" fillId="29" borderId="146" xfId="13" applyNumberFormat="1" applyFont="1" applyFill="1" applyBorder="1" applyAlignment="1" applyProtection="1">
      <alignment vertical="center"/>
    </xf>
    <xf numFmtId="177" fontId="0" fillId="29" borderId="147" xfId="13" applyNumberFormat="1" applyFont="1" applyFill="1" applyBorder="1" applyAlignment="1" applyProtection="1">
      <alignment vertical="center"/>
    </xf>
    <xf numFmtId="177" fontId="0" fillId="45" borderId="110" xfId="13" applyNumberFormat="1" applyFont="1" applyFill="1" applyBorder="1" applyAlignment="1" applyProtection="1">
      <alignment vertical="center"/>
    </xf>
    <xf numFmtId="177" fontId="0" fillId="45" borderId="108" xfId="13" applyNumberFormat="1" applyFont="1" applyFill="1" applyBorder="1" applyAlignment="1" applyProtection="1">
      <alignment vertical="center"/>
    </xf>
    <xf numFmtId="177" fontId="0" fillId="29" borderId="122" xfId="13" applyNumberFormat="1" applyFont="1" applyFill="1" applyBorder="1" applyAlignment="1" applyProtection="1">
      <alignment vertical="center"/>
    </xf>
    <xf numFmtId="167" fontId="14" fillId="34" borderId="247" xfId="0" applyNumberFormat="1" applyFont="1" applyFill="1" applyBorder="1" applyAlignment="1" applyProtection="1">
      <alignment horizontal="center" vertical="center" wrapText="1"/>
    </xf>
    <xf numFmtId="167" fontId="14" fillId="34" borderId="248" xfId="0" applyNumberFormat="1" applyFont="1" applyFill="1" applyBorder="1" applyAlignment="1" applyProtection="1">
      <alignment horizontal="center" vertical="center" wrapText="1"/>
    </xf>
    <xf numFmtId="167" fontId="14" fillId="34" borderId="249" xfId="0" applyNumberFormat="1" applyFont="1" applyFill="1" applyBorder="1" applyAlignment="1" applyProtection="1">
      <alignment horizontal="center" vertical="center" wrapText="1"/>
    </xf>
    <xf numFmtId="167" fontId="14" fillId="15" borderId="250" xfId="0" applyNumberFormat="1" applyFont="1" applyFill="1" applyBorder="1" applyAlignment="1" applyProtection="1">
      <alignment horizontal="center" vertical="center" wrapText="1"/>
    </xf>
    <xf numFmtId="167" fontId="14" fillId="15" borderId="235" xfId="0" applyNumberFormat="1" applyFont="1" applyFill="1" applyBorder="1" applyAlignment="1" applyProtection="1">
      <alignment horizontal="center" vertical="center" wrapText="1"/>
    </xf>
    <xf numFmtId="167" fontId="14" fillId="15" borderId="251" xfId="0" applyNumberFormat="1" applyFont="1" applyFill="1" applyBorder="1" applyAlignment="1" applyProtection="1">
      <alignment horizontal="center" vertical="center" wrapText="1"/>
    </xf>
    <xf numFmtId="167" fontId="14" fillId="15" borderId="252" xfId="0" applyNumberFormat="1" applyFont="1" applyFill="1" applyBorder="1" applyAlignment="1" applyProtection="1">
      <alignment horizontal="center" vertical="center" wrapText="1"/>
    </xf>
    <xf numFmtId="167" fontId="14" fillId="34" borderId="252" xfId="0" applyNumberFormat="1" applyFont="1" applyFill="1" applyBorder="1" applyAlignment="1" applyProtection="1">
      <alignment horizontal="center" vertical="center" wrapText="1"/>
    </xf>
    <xf numFmtId="177" fontId="0" fillId="45" borderId="234" xfId="13" applyNumberFormat="1" applyFont="1" applyFill="1" applyBorder="1" applyAlignment="1" applyProtection="1">
      <alignment vertical="center"/>
    </xf>
    <xf numFmtId="177" fontId="0" fillId="45" borderId="203" xfId="13" applyNumberFormat="1" applyFont="1" applyFill="1" applyBorder="1" applyAlignment="1" applyProtection="1">
      <alignment vertical="center"/>
    </xf>
    <xf numFmtId="177" fontId="0" fillId="45" borderId="101" xfId="13" applyNumberFormat="1" applyFont="1" applyFill="1" applyBorder="1" applyAlignment="1" applyProtection="1">
      <alignment vertical="center"/>
    </xf>
    <xf numFmtId="167" fontId="14" fillId="34" borderId="251" xfId="0" applyNumberFormat="1" applyFont="1" applyFill="1" applyBorder="1" applyAlignment="1" applyProtection="1">
      <alignment horizontal="center" vertical="center" wrapText="1"/>
    </xf>
    <xf numFmtId="169" fontId="0" fillId="12" borderId="216" xfId="13" applyNumberFormat="1" applyFont="1" applyFill="1" applyBorder="1" applyAlignment="1" applyProtection="1">
      <alignment horizontal="center" vertical="center"/>
      <protection locked="0"/>
    </xf>
    <xf numFmtId="169" fontId="0" fillId="45" borderId="218" xfId="13" applyNumberFormat="1" applyFont="1" applyFill="1" applyBorder="1" applyAlignment="1" applyProtection="1">
      <alignment horizontal="center" vertical="center"/>
    </xf>
    <xf numFmtId="169" fontId="0" fillId="12" borderId="204" xfId="13" applyNumberFormat="1" applyFont="1" applyFill="1" applyBorder="1" applyAlignment="1" applyProtection="1">
      <alignment horizontal="center" vertical="center"/>
      <protection locked="0"/>
    </xf>
    <xf numFmtId="169" fontId="0" fillId="45" borderId="206" xfId="13" applyNumberFormat="1" applyFont="1" applyFill="1" applyBorder="1" applyAlignment="1" applyProtection="1">
      <alignment horizontal="center" vertical="center"/>
    </xf>
    <xf numFmtId="169" fontId="0" fillId="12" borderId="110" xfId="13" applyNumberFormat="1" applyFont="1" applyFill="1" applyBorder="1" applyAlignment="1" applyProtection="1">
      <alignment horizontal="center" vertical="center"/>
      <protection locked="0"/>
    </xf>
    <xf numFmtId="169" fontId="0" fillId="45" borderId="109" xfId="13" applyNumberFormat="1" applyFont="1" applyFill="1" applyBorder="1" applyAlignment="1" applyProtection="1">
      <alignment horizontal="center" vertical="center"/>
    </xf>
    <xf numFmtId="169" fontId="0" fillId="12" borderId="85" xfId="13" applyNumberFormat="1" applyFont="1" applyFill="1" applyBorder="1" applyAlignment="1" applyProtection="1">
      <alignment horizontal="center" vertical="center"/>
      <protection locked="0"/>
    </xf>
    <xf numFmtId="169" fontId="0" fillId="45" borderId="138" xfId="13" applyNumberFormat="1" applyFont="1" applyFill="1" applyBorder="1" applyAlignment="1" applyProtection="1">
      <alignment horizontal="center" vertical="center"/>
    </xf>
    <xf numFmtId="0" fontId="0" fillId="0" borderId="186" xfId="0" applyFont="1" applyFill="1" applyBorder="1" applyAlignment="1" applyProtection="1">
      <alignment horizontal="left" vertical="center"/>
    </xf>
    <xf numFmtId="0" fontId="0" fillId="0" borderId="112" xfId="0" applyFont="1" applyFill="1" applyBorder="1" applyAlignment="1" applyProtection="1">
      <alignment horizontal="left" vertical="center"/>
    </xf>
    <xf numFmtId="0" fontId="0" fillId="0" borderId="253" xfId="0" applyFont="1" applyFill="1" applyBorder="1" applyAlignment="1" applyProtection="1">
      <alignment horizontal="left" vertical="center"/>
    </xf>
    <xf numFmtId="0" fontId="0" fillId="0" borderId="113" xfId="0" applyFont="1" applyFill="1" applyBorder="1" applyAlignment="1" applyProtection="1">
      <alignment horizontal="left" vertical="center"/>
    </xf>
    <xf numFmtId="178" fontId="0" fillId="12" borderId="216" xfId="13" applyNumberFormat="1" applyFont="1" applyFill="1" applyBorder="1" applyAlignment="1" applyProtection="1">
      <alignment horizontal="center" vertical="center"/>
      <protection locked="0"/>
    </xf>
    <xf numFmtId="178" fontId="0" fillId="12" borderId="136" xfId="13" applyNumberFormat="1" applyFont="1" applyFill="1" applyBorder="1" applyAlignment="1" applyProtection="1">
      <alignment horizontal="center" vertical="center"/>
      <protection locked="0"/>
    </xf>
    <xf numFmtId="178" fontId="0" fillId="12" borderId="110" xfId="13" applyNumberFormat="1" applyFont="1" applyFill="1" applyBorder="1" applyAlignment="1" applyProtection="1">
      <alignment horizontal="center" vertical="center"/>
      <protection locked="0"/>
    </xf>
    <xf numFmtId="0" fontId="14" fillId="16" borderId="256" xfId="0" applyFont="1" applyFill="1" applyBorder="1" applyAlignment="1" applyProtection="1">
      <alignment horizontal="center" vertical="center" wrapText="1"/>
    </xf>
    <xf numFmtId="167" fontId="14" fillId="34" borderId="259" xfId="0" applyNumberFormat="1" applyFont="1" applyFill="1" applyBorder="1" applyAlignment="1" applyProtection="1">
      <alignment horizontal="center" vertical="center" wrapText="1"/>
    </xf>
    <xf numFmtId="167" fontId="14" fillId="34" borderId="260" xfId="0" applyNumberFormat="1" applyFont="1" applyFill="1" applyBorder="1" applyAlignment="1" applyProtection="1">
      <alignment horizontal="center" vertical="center" wrapText="1"/>
    </xf>
    <xf numFmtId="167" fontId="14" fillId="34" borderId="261" xfId="0" applyNumberFormat="1" applyFont="1" applyFill="1" applyBorder="1" applyAlignment="1" applyProtection="1">
      <alignment horizontal="center" vertical="center" wrapText="1"/>
    </xf>
    <xf numFmtId="178" fontId="0" fillId="12" borderId="218" xfId="13" applyNumberFormat="1" applyFont="1" applyFill="1" applyBorder="1" applyAlignment="1" applyProtection="1">
      <alignment horizontal="center" vertical="center"/>
      <protection locked="0"/>
    </xf>
    <xf numFmtId="178" fontId="0" fillId="12" borderId="147" xfId="13" applyNumberFormat="1" applyFont="1" applyFill="1" applyBorder="1" applyAlignment="1" applyProtection="1">
      <alignment horizontal="center" vertical="center"/>
      <protection locked="0"/>
    </xf>
    <xf numFmtId="178" fontId="0" fillId="12" borderId="109" xfId="13" applyNumberFormat="1" applyFont="1" applyFill="1" applyBorder="1" applyAlignment="1" applyProtection="1">
      <alignment horizontal="center" vertical="center"/>
      <protection locked="0"/>
    </xf>
    <xf numFmtId="0" fontId="11" fillId="46" borderId="101" xfId="0" applyFont="1" applyFill="1" applyBorder="1" applyAlignment="1" applyProtection="1">
      <alignment horizontal="center" vertical="center"/>
    </xf>
    <xf numFmtId="176" fontId="0" fillId="0" borderId="234" xfId="0" applyNumberFormat="1" applyFont="1" applyFill="1" applyBorder="1" applyAlignment="1" applyProtection="1">
      <alignment horizontal="right" vertical="center"/>
    </xf>
    <xf numFmtId="176" fontId="0" fillId="0" borderId="203" xfId="0" applyNumberFormat="1" applyFont="1" applyFill="1" applyBorder="1" applyAlignment="1" applyProtection="1">
      <alignment horizontal="right" vertical="center"/>
    </xf>
    <xf numFmtId="176" fontId="0" fillId="0" borderId="233" xfId="0" applyNumberFormat="1" applyFont="1" applyFill="1" applyBorder="1" applyAlignment="1" applyProtection="1">
      <alignment horizontal="right" vertical="center"/>
    </xf>
    <xf numFmtId="167" fontId="0" fillId="36" borderId="205" xfId="13" applyNumberFormat="1" applyFont="1" applyFill="1" applyBorder="1" applyAlignment="1" applyProtection="1">
      <alignment vertical="center"/>
    </xf>
    <xf numFmtId="167" fontId="14" fillId="34" borderId="265" xfId="0" applyNumberFormat="1" applyFont="1" applyFill="1" applyBorder="1" applyAlignment="1" applyProtection="1">
      <alignment horizontal="center" vertical="center" wrapText="1"/>
    </xf>
    <xf numFmtId="167" fontId="0" fillId="29" borderId="234" xfId="13" applyNumberFormat="1" applyFont="1" applyFill="1" applyBorder="1" applyAlignment="1" applyProtection="1">
      <alignment vertical="center"/>
    </xf>
    <xf numFmtId="167" fontId="0" fillId="29" borderId="203" xfId="13" applyNumberFormat="1" applyFont="1" applyFill="1" applyBorder="1" applyAlignment="1" applyProtection="1">
      <alignment vertical="center"/>
    </xf>
    <xf numFmtId="167" fontId="0" fillId="69" borderId="203" xfId="13" applyNumberFormat="1" applyFont="1" applyFill="1" applyBorder="1" applyAlignment="1" applyProtection="1">
      <alignment vertical="center"/>
    </xf>
    <xf numFmtId="167" fontId="14" fillId="15" borderId="267" xfId="0" applyNumberFormat="1" applyFont="1" applyFill="1" applyBorder="1" applyAlignment="1" applyProtection="1">
      <alignment horizontal="center" vertical="center" wrapText="1"/>
    </xf>
    <xf numFmtId="167" fontId="14" fillId="15" borderId="268" xfId="0" applyNumberFormat="1" applyFont="1" applyFill="1" applyBorder="1" applyAlignment="1" applyProtection="1">
      <alignment horizontal="center" vertical="center" wrapText="1"/>
    </xf>
    <xf numFmtId="167" fontId="14" fillId="15" borderId="259" xfId="0" applyNumberFormat="1" applyFont="1" applyFill="1" applyBorder="1" applyAlignment="1" applyProtection="1">
      <alignment horizontal="center" vertical="center" wrapText="1"/>
    </xf>
    <xf numFmtId="167" fontId="14" fillId="15" borderId="260" xfId="0" applyNumberFormat="1" applyFont="1" applyFill="1" applyBorder="1" applyAlignment="1" applyProtection="1">
      <alignment horizontal="center" vertical="center" wrapText="1"/>
    </xf>
    <xf numFmtId="167" fontId="14" fillId="15" borderId="261" xfId="0" applyNumberFormat="1" applyFont="1" applyFill="1" applyBorder="1" applyAlignment="1" applyProtection="1">
      <alignment horizontal="center" vertical="center" wrapText="1"/>
    </xf>
    <xf numFmtId="167" fontId="0" fillId="36" borderId="216" xfId="13" applyNumberFormat="1" applyFont="1" applyFill="1" applyBorder="1" applyAlignment="1" applyProtection="1">
      <alignment vertical="center"/>
    </xf>
    <xf numFmtId="167" fontId="0" fillId="36" borderId="217" xfId="13" applyNumberFormat="1" applyFont="1" applyFill="1" applyBorder="1" applyAlignment="1" applyProtection="1">
      <alignment vertical="center"/>
    </xf>
    <xf numFmtId="167" fontId="0" fillId="36" borderId="234" xfId="13" applyNumberFormat="1" applyFont="1" applyFill="1" applyBorder="1" applyAlignment="1" applyProtection="1">
      <alignment vertical="center"/>
    </xf>
    <xf numFmtId="167" fontId="0" fillId="36" borderId="204" xfId="13" applyNumberFormat="1" applyFont="1" applyFill="1" applyBorder="1" applyAlignment="1" applyProtection="1">
      <alignment vertical="center"/>
    </xf>
    <xf numFmtId="167" fontId="0" fillId="36" borderId="203" xfId="13" applyNumberFormat="1" applyFont="1" applyFill="1" applyBorder="1" applyAlignment="1" applyProtection="1">
      <alignment vertical="center"/>
    </xf>
    <xf numFmtId="167" fontId="14" fillId="15" borderId="265" xfId="0" applyNumberFormat="1" applyFont="1" applyFill="1" applyBorder="1" applyAlignment="1" applyProtection="1">
      <alignment horizontal="center" vertical="center" wrapText="1"/>
    </xf>
    <xf numFmtId="167" fontId="14" fillId="15" borderId="269" xfId="0" applyNumberFormat="1" applyFont="1" applyFill="1" applyBorder="1" applyAlignment="1" applyProtection="1">
      <alignment horizontal="center" vertical="center" wrapText="1"/>
    </xf>
    <xf numFmtId="169" fontId="0" fillId="0" borderId="213" xfId="0" applyNumberFormat="1" applyFont="1" applyFill="1" applyBorder="1" applyAlignment="1" applyProtection="1">
      <alignment horizontal="center" vertical="center"/>
    </xf>
    <xf numFmtId="169" fontId="0" fillId="0" borderId="212" xfId="0" applyNumberFormat="1" applyFont="1" applyFill="1" applyBorder="1" applyAlignment="1" applyProtection="1">
      <alignment horizontal="center" vertical="center"/>
    </xf>
    <xf numFmtId="167" fontId="0" fillId="1" borderId="212" xfId="13" applyNumberFormat="1" applyFont="1" applyFill="1" applyBorder="1" applyAlignment="1" applyProtection="1">
      <alignment vertical="center"/>
    </xf>
    <xf numFmtId="169" fontId="0" fillId="0" borderId="122" xfId="0" applyNumberFormat="1" applyFont="1" applyFill="1" applyBorder="1" applyAlignment="1" applyProtection="1">
      <alignment horizontal="center" vertical="center"/>
    </xf>
    <xf numFmtId="167" fontId="0" fillId="0" borderId="218" xfId="13" applyNumberFormat="1" applyFont="1" applyFill="1" applyBorder="1" applyAlignment="1" applyProtection="1">
      <alignment vertical="center"/>
    </xf>
    <xf numFmtId="167" fontId="0" fillId="0" borderId="206" xfId="13" applyNumberFormat="1" applyFont="1" applyFill="1" applyBorder="1" applyAlignment="1" applyProtection="1">
      <alignment vertical="center"/>
    </xf>
    <xf numFmtId="167" fontId="0" fillId="0" borderId="109" xfId="13" applyNumberFormat="1" applyFont="1" applyFill="1" applyBorder="1" applyAlignment="1" applyProtection="1">
      <alignment vertical="center"/>
    </xf>
    <xf numFmtId="166" fontId="0" fillId="0" borderId="270" xfId="13" applyNumberFormat="1" applyFont="1" applyFill="1" applyBorder="1" applyAlignment="1" applyProtection="1">
      <alignment vertical="center"/>
    </xf>
    <xf numFmtId="167" fontId="0" fillId="29" borderId="85" xfId="13" applyNumberFormat="1" applyFont="1" applyFill="1" applyBorder="1" applyAlignment="1" applyProtection="1">
      <alignment vertical="center"/>
    </xf>
    <xf numFmtId="167" fontId="0" fillId="29" borderId="210" xfId="13" applyNumberFormat="1" applyFont="1" applyFill="1" applyBorder="1" applyAlignment="1" applyProtection="1">
      <alignment vertical="center"/>
    </xf>
    <xf numFmtId="167" fontId="0" fillId="29" borderId="240" xfId="13" applyNumberFormat="1" applyFont="1" applyFill="1" applyBorder="1" applyAlignment="1" applyProtection="1">
      <alignment vertical="center"/>
    </xf>
    <xf numFmtId="167" fontId="0" fillId="36" borderId="85" xfId="13" applyNumberFormat="1" applyFont="1" applyFill="1" applyBorder="1" applyAlignment="1" applyProtection="1">
      <alignment vertical="center"/>
    </xf>
    <xf numFmtId="167" fontId="0" fillId="36" borderId="210" xfId="13" applyNumberFormat="1" applyFont="1" applyFill="1" applyBorder="1" applyAlignment="1" applyProtection="1">
      <alignment vertical="center"/>
    </xf>
    <xf numFmtId="167" fontId="0" fillId="36" borderId="240" xfId="13" applyNumberFormat="1" applyFont="1" applyFill="1" applyBorder="1" applyAlignment="1" applyProtection="1">
      <alignment vertical="center"/>
    </xf>
    <xf numFmtId="167" fontId="0" fillId="0" borderId="210" xfId="13" applyNumberFormat="1" applyFont="1" applyFill="1" applyBorder="1" applyAlignment="1" applyProtection="1">
      <alignment vertical="center"/>
    </xf>
    <xf numFmtId="169" fontId="0" fillId="0" borderId="232" xfId="0" applyNumberFormat="1" applyFont="1" applyFill="1" applyBorder="1" applyAlignment="1" applyProtection="1">
      <alignment horizontal="center" vertical="center"/>
    </xf>
    <xf numFmtId="169" fontId="0" fillId="0" borderId="210" xfId="0" applyNumberFormat="1" applyFont="1" applyFill="1" applyBorder="1" applyAlignment="1" applyProtection="1">
      <alignment horizontal="center" vertical="center"/>
    </xf>
    <xf numFmtId="169" fontId="0" fillId="0" borderId="138" xfId="0" applyNumberFormat="1" applyFont="1" applyFill="1" applyBorder="1" applyAlignment="1" applyProtection="1">
      <alignment horizontal="center" vertical="center"/>
    </xf>
    <xf numFmtId="167" fontId="0" fillId="29" borderId="216" xfId="13" applyNumberFormat="1" applyFont="1" applyFill="1" applyBorder="1" applyAlignment="1" applyProtection="1">
      <alignment vertical="center"/>
    </xf>
    <xf numFmtId="167" fontId="0" fillId="29" borderId="217" xfId="13" applyNumberFormat="1" applyFont="1" applyFill="1" applyBorder="1" applyAlignment="1" applyProtection="1">
      <alignment vertical="center"/>
    </xf>
    <xf numFmtId="167" fontId="0" fillId="29" borderId="204" xfId="13" applyNumberFormat="1" applyFont="1" applyFill="1" applyBorder="1" applyAlignment="1" applyProtection="1">
      <alignment vertical="center"/>
    </xf>
    <xf numFmtId="167" fontId="0" fillId="29" borderId="205" xfId="13" applyNumberFormat="1" applyFont="1" applyFill="1" applyBorder="1" applyAlignment="1" applyProtection="1">
      <alignment vertical="center"/>
    </xf>
    <xf numFmtId="9" fontId="0" fillId="26" borderId="133" xfId="0" applyNumberFormat="1" applyFont="1" applyFill="1" applyBorder="1" applyAlignment="1" applyProtection="1">
      <alignment horizontal="center" vertical="center"/>
    </xf>
    <xf numFmtId="9" fontId="0" fillId="26" borderId="134" xfId="0" applyNumberFormat="1" applyFont="1" applyFill="1" applyBorder="1" applyAlignment="1" applyProtection="1">
      <alignment horizontal="center" vertical="center"/>
    </xf>
    <xf numFmtId="9" fontId="0" fillId="26" borderId="135" xfId="0" applyNumberFormat="1" applyFont="1" applyFill="1" applyBorder="1" applyAlignment="1" applyProtection="1">
      <alignment horizontal="center" vertical="center"/>
    </xf>
    <xf numFmtId="167" fontId="15" fillId="29" borderId="205" xfId="13" applyNumberFormat="1" applyFont="1" applyFill="1" applyBorder="1" applyAlignment="1" applyProtection="1">
      <alignment vertical="center"/>
    </xf>
    <xf numFmtId="175" fontId="15" fillId="29" borderId="205" xfId="12" applyNumberFormat="1" applyFont="1" applyFill="1" applyBorder="1" applyProtection="1"/>
    <xf numFmtId="167" fontId="20" fillId="29" borderId="205" xfId="13" applyNumberFormat="1" applyFont="1" applyFill="1" applyBorder="1" applyAlignment="1" applyProtection="1">
      <alignment vertical="center"/>
    </xf>
    <xf numFmtId="167" fontId="12" fillId="28" borderId="222" xfId="13" applyNumberFormat="1" applyFont="1" applyFill="1" applyBorder="1" applyAlignment="1" applyProtection="1">
      <alignment vertical="center"/>
    </xf>
    <xf numFmtId="175" fontId="15" fillId="29" borderId="205" xfId="12" applyNumberFormat="1" applyFill="1" applyBorder="1" applyProtection="1"/>
    <xf numFmtId="167" fontId="23" fillId="31" borderId="52" xfId="13" applyNumberFormat="1" applyFont="1" applyFill="1" applyBorder="1" applyAlignment="1" applyProtection="1">
      <alignment vertical="center" wrapText="1"/>
    </xf>
    <xf numFmtId="167" fontId="23" fillId="31" borderId="63" xfId="13" applyNumberFormat="1" applyFont="1" applyFill="1" applyBorder="1" applyAlignment="1" applyProtection="1">
      <alignment vertical="center" wrapText="1"/>
    </xf>
    <xf numFmtId="0" fontId="3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41" fillId="0" borderId="0" xfId="0" applyFont="1" applyBorder="1" applyAlignment="1" applyProtection="1">
      <alignment horizontal="right"/>
      <protection locked="0"/>
    </xf>
    <xf numFmtId="0" fontId="29" fillId="0" borderId="0" xfId="0" applyFont="1" applyAlignment="1" applyProtection="1">
      <alignment horizontal="center"/>
      <protection locked="0"/>
    </xf>
    <xf numFmtId="0" fontId="14" fillId="17" borderId="205" xfId="0" applyFont="1" applyFill="1" applyBorder="1" applyAlignment="1" applyProtection="1">
      <alignment horizontal="center" vertical="center" wrapText="1"/>
    </xf>
    <xf numFmtId="173" fontId="14" fillId="17" borderId="205" xfId="12" applyNumberFormat="1" applyFont="1" applyFill="1" applyBorder="1" applyAlignment="1" applyProtection="1">
      <alignment horizontal="center" vertical="center" wrapText="1"/>
    </xf>
    <xf numFmtId="0" fontId="12" fillId="17" borderId="205" xfId="0" applyFont="1" applyFill="1" applyBorder="1" applyAlignment="1" applyProtection="1">
      <alignment horizontal="center" vertical="center"/>
    </xf>
    <xf numFmtId="174" fontId="0" fillId="0" borderId="154" xfId="0" applyNumberFormat="1" applyFont="1" applyFill="1" applyBorder="1" applyAlignment="1" applyProtection="1">
      <alignment horizontal="left" vertical="center" wrapText="1"/>
    </xf>
    <xf numFmtId="174" fontId="20" fillId="0" borderId="154" xfId="0" applyNumberFormat="1" applyFont="1" applyFill="1" applyBorder="1" applyAlignment="1" applyProtection="1">
      <alignment horizontal="left" vertical="center" wrapText="1"/>
    </xf>
    <xf numFmtId="167" fontId="12" fillId="28" borderId="203" xfId="13" applyNumberFormat="1" applyFont="1" applyFill="1" applyBorder="1" applyAlignment="1" applyProtection="1">
      <alignment vertical="center"/>
    </xf>
    <xf numFmtId="174" fontId="31" fillId="0" borderId="154" xfId="0" applyNumberFormat="1" applyFont="1" applyFill="1" applyBorder="1" applyAlignment="1" applyProtection="1">
      <alignment horizontal="left" vertical="center" wrapText="1"/>
    </xf>
    <xf numFmtId="0" fontId="34" fillId="0" borderId="203" xfId="0" applyFont="1" applyBorder="1" applyAlignment="1" applyProtection="1">
      <alignment horizontal="left" vertical="center"/>
      <protection locked="0"/>
    </xf>
    <xf numFmtId="0" fontId="34" fillId="0" borderId="238" xfId="0" applyFont="1" applyBorder="1" applyAlignment="1" applyProtection="1">
      <alignment horizontal="left" vertical="center"/>
      <protection locked="0"/>
    </xf>
    <xf numFmtId="0" fontId="34" fillId="0" borderId="212" xfId="0" applyFont="1" applyBorder="1" applyAlignment="1" applyProtection="1">
      <alignment horizontal="left" vertical="center"/>
      <protection locked="0"/>
    </xf>
    <xf numFmtId="0" fontId="0" fillId="0" borderId="203" xfId="0" applyBorder="1" applyAlignment="1" applyProtection="1">
      <alignment horizontal="left" vertical="center"/>
      <protection locked="0"/>
    </xf>
    <xf numFmtId="0" fontId="0" fillId="0" borderId="238" xfId="0" applyBorder="1" applyAlignment="1" applyProtection="1">
      <alignment horizontal="left" vertical="center"/>
      <protection locked="0"/>
    </xf>
    <xf numFmtId="0" fontId="0" fillId="0" borderId="212" xfId="0" applyBorder="1" applyAlignment="1" applyProtection="1">
      <alignment horizontal="left" vertical="center"/>
      <protection locked="0"/>
    </xf>
    <xf numFmtId="167" fontId="12" fillId="28" borderId="205" xfId="13" applyNumberFormat="1" applyFont="1" applyFill="1" applyBorder="1" applyAlignment="1" applyProtection="1">
      <alignment vertical="center"/>
    </xf>
    <xf numFmtId="174" fontId="31" fillId="0" borderId="154" xfId="0" applyNumberFormat="1" applyFont="1" applyFill="1" applyBorder="1" applyAlignment="1" applyProtection="1">
      <alignment horizontal="left" vertical="center"/>
    </xf>
    <xf numFmtId="167" fontId="12" fillId="28" borderId="173" xfId="13" applyNumberFormat="1" applyFont="1" applyFill="1" applyBorder="1" applyAlignment="1" applyProtection="1">
      <alignment vertical="center"/>
    </xf>
    <xf numFmtId="0" fontId="0" fillId="0" borderId="238" xfId="0" applyBorder="1" applyAlignment="1" applyProtection="1">
      <alignment vertical="center"/>
      <protection locked="0"/>
    </xf>
    <xf numFmtId="0" fontId="0" fillId="0" borderId="212" xfId="0" applyBorder="1" applyAlignment="1" applyProtection="1">
      <alignment vertical="center"/>
      <protection locked="0"/>
    </xf>
    <xf numFmtId="174" fontId="20" fillId="0" borderId="154" xfId="0" applyNumberFormat="1" applyFont="1" applyFill="1" applyBorder="1" applyAlignment="1" applyProtection="1">
      <alignment horizontal="left" vertical="center"/>
    </xf>
    <xf numFmtId="167" fontId="12" fillId="28" borderId="175" xfId="13" applyNumberFormat="1" applyFont="1" applyFill="1" applyBorder="1" applyAlignment="1" applyProtection="1">
      <alignment vertical="center"/>
    </xf>
    <xf numFmtId="174" fontId="20" fillId="0" borderId="154" xfId="0" applyNumberFormat="1" applyFont="1" applyFill="1" applyBorder="1" applyAlignment="1" applyProtection="1">
      <alignment vertical="center" wrapText="1"/>
    </xf>
    <xf numFmtId="1" fontId="31" fillId="0" borderId="145" xfId="0" applyNumberFormat="1" applyFont="1" applyBorder="1" applyAlignment="1" applyProtection="1">
      <alignment horizontal="left" vertical="center"/>
    </xf>
    <xf numFmtId="174" fontId="20" fillId="0" borderId="265" xfId="0" applyNumberFormat="1" applyFont="1" applyFill="1" applyBorder="1" applyAlignment="1" applyProtection="1">
      <alignment horizontal="left" vertical="center" wrapText="1"/>
    </xf>
    <xf numFmtId="167" fontId="12" fillId="28" borderId="273" xfId="13" applyNumberFormat="1" applyFont="1" applyFill="1" applyBorder="1" applyAlignment="1" applyProtection="1">
      <alignment vertical="center"/>
    </xf>
    <xf numFmtId="0" fontId="0" fillId="43" borderId="203" xfId="0" applyFill="1" applyBorder="1" applyAlignment="1" applyProtection="1">
      <alignment horizontal="left" vertical="center"/>
      <protection locked="0"/>
    </xf>
    <xf numFmtId="0" fontId="0" fillId="43" borderId="238" xfId="0" applyFill="1" applyBorder="1" applyAlignment="1" applyProtection="1">
      <alignment horizontal="left" vertical="center"/>
      <protection locked="0"/>
    </xf>
    <xf numFmtId="0" fontId="0" fillId="43" borderId="212" xfId="0" applyFill="1" applyBorder="1" applyAlignment="1" applyProtection="1">
      <alignment horizontal="left" vertical="center"/>
      <protection locked="0"/>
    </xf>
    <xf numFmtId="3" fontId="24" fillId="0" borderId="0" xfId="0" applyNumberFormat="1" applyFont="1" applyBorder="1" applyAlignment="1" applyProtection="1">
      <alignment horizontal="right"/>
      <protection locked="0"/>
    </xf>
    <xf numFmtId="0" fontId="42" fillId="0" borderId="0" xfId="0" applyFont="1" applyProtection="1">
      <protection locked="0"/>
    </xf>
    <xf numFmtId="3" fontId="42" fillId="0" borderId="0" xfId="0" applyNumberFormat="1" applyFont="1" applyBorder="1" applyProtection="1">
      <protection locked="0"/>
    </xf>
    <xf numFmtId="0" fontId="41" fillId="0" borderId="0" xfId="0" applyFont="1" applyBorder="1" applyAlignment="1" applyProtection="1">
      <protection locked="0"/>
    </xf>
    <xf numFmtId="0" fontId="0" fillId="36" borderId="0" xfId="0" applyFill="1" applyProtection="1">
      <protection locked="0"/>
    </xf>
    <xf numFmtId="0" fontId="0" fillId="29" borderId="0" xfId="0" applyFont="1" applyFill="1" applyAlignment="1" applyProtection="1">
      <alignment horizontal="left" vertical="center"/>
      <protection locked="0"/>
    </xf>
    <xf numFmtId="0" fontId="0" fillId="29" borderId="0" xfId="0" applyFont="1" applyFill="1" applyAlignment="1" applyProtection="1">
      <alignment horizontal="left" vertical="center" wrapText="1"/>
      <protection locked="0"/>
    </xf>
    <xf numFmtId="0" fontId="14" fillId="29" borderId="0" xfId="0" applyFont="1" applyFill="1" applyAlignment="1" applyProtection="1">
      <alignment horizontal="left" vertical="center" wrapText="1"/>
      <protection locked="0"/>
    </xf>
    <xf numFmtId="0" fontId="0" fillId="29" borderId="0" xfId="0" applyFill="1" applyProtection="1">
      <protection locked="0"/>
    </xf>
    <xf numFmtId="0" fontId="0" fillId="29" borderId="0" xfId="0" applyFill="1" applyAlignment="1" applyProtection="1">
      <alignment horizontal="left" vertical="center" wrapText="1"/>
      <protection locked="0"/>
    </xf>
    <xf numFmtId="0" fontId="30" fillId="29" borderId="0" xfId="0" applyFont="1" applyFill="1" applyProtection="1">
      <protection locked="0"/>
    </xf>
    <xf numFmtId="0" fontId="30" fillId="29" borderId="0" xfId="0" applyFont="1" applyFill="1" applyAlignment="1" applyProtection="1">
      <alignment horizontal="left"/>
      <protection locked="0"/>
    </xf>
    <xf numFmtId="0" fontId="0" fillId="29" borderId="0" xfId="0" applyFill="1" applyAlignment="1" applyProtection="1">
      <alignment wrapText="1"/>
      <protection locked="0"/>
    </xf>
    <xf numFmtId="0" fontId="0" fillId="29" borderId="0" xfId="0" applyFont="1" applyFill="1" applyAlignment="1" applyProtection="1">
      <alignment wrapText="1"/>
      <protection locked="0"/>
    </xf>
    <xf numFmtId="0" fontId="14" fillId="29" borderId="205" xfId="0" applyFont="1" applyFill="1" applyBorder="1" applyAlignment="1" applyProtection="1">
      <alignment horizontal="center" vertical="center" wrapText="1"/>
      <protection locked="0"/>
    </xf>
    <xf numFmtId="0" fontId="14" fillId="29" borderId="203" xfId="0" applyFont="1" applyFill="1" applyBorder="1" applyAlignment="1" applyProtection="1">
      <alignment vertical="center" wrapText="1"/>
      <protection locked="0"/>
    </xf>
    <xf numFmtId="0" fontId="0" fillId="29" borderId="0" xfId="0" applyFill="1" applyAlignment="1" applyProtection="1">
      <alignment vertical="center"/>
      <protection locked="0"/>
    </xf>
    <xf numFmtId="0" fontId="14" fillId="29" borderId="203" xfId="0" applyFont="1" applyFill="1" applyBorder="1" applyAlignment="1" applyProtection="1">
      <alignment vertical="center"/>
      <protection locked="0"/>
    </xf>
    <xf numFmtId="0" fontId="0" fillId="29" borderId="205" xfId="0" applyFont="1" applyFill="1" applyBorder="1" applyAlignment="1" applyProtection="1">
      <alignment horizontal="center" vertical="center"/>
      <protection locked="0"/>
    </xf>
    <xf numFmtId="3" fontId="0" fillId="29" borderId="203" xfId="0" applyNumberFormat="1" applyFont="1" applyFill="1" applyBorder="1" applyAlignment="1" applyProtection="1">
      <alignment horizontal="right" vertical="center"/>
      <protection locked="0"/>
    </xf>
    <xf numFmtId="42" fontId="0" fillId="29" borderId="205" xfId="31" applyFont="1" applyFill="1" applyBorder="1" applyAlignment="1" applyProtection="1">
      <alignment vertical="center"/>
      <protection locked="0"/>
    </xf>
    <xf numFmtId="42" fontId="0" fillId="29" borderId="205" xfId="0" applyNumberFormat="1" applyFill="1" applyBorder="1" applyProtection="1">
      <protection locked="0"/>
    </xf>
    <xf numFmtId="174" fontId="30" fillId="27" borderId="154" xfId="0" applyNumberFormat="1" applyFont="1" applyFill="1" applyBorder="1" applyAlignment="1" applyProtection="1">
      <alignment horizontal="left" vertical="center" wrapText="1"/>
    </xf>
    <xf numFmtId="167" fontId="30" fillId="27" borderId="205" xfId="13" applyNumberFormat="1" applyFont="1" applyFill="1" applyBorder="1" applyAlignment="1" applyProtection="1">
      <alignment vertical="center"/>
    </xf>
    <xf numFmtId="167" fontId="30" fillId="75" borderId="205" xfId="13" applyNumberFormat="1" applyFont="1" applyFill="1" applyBorder="1" applyAlignment="1" applyProtection="1">
      <alignment vertical="center"/>
    </xf>
    <xf numFmtId="175" fontId="30" fillId="75" borderId="205" xfId="12" applyNumberFormat="1" applyFont="1" applyFill="1" applyBorder="1" applyAlignment="1" applyProtection="1">
      <alignment vertical="center"/>
    </xf>
    <xf numFmtId="174" fontId="0" fillId="27" borderId="154" xfId="0" applyNumberFormat="1" applyFont="1" applyFill="1" applyBorder="1" applyAlignment="1" applyProtection="1">
      <alignment horizontal="left" vertical="center" wrapText="1"/>
    </xf>
    <xf numFmtId="167" fontId="0" fillId="27" borderId="205" xfId="13" applyNumberFormat="1" applyFont="1" applyFill="1" applyBorder="1" applyAlignment="1" applyProtection="1">
      <alignment vertical="center"/>
      <protection locked="0"/>
    </xf>
    <xf numFmtId="175" fontId="0" fillId="27" borderId="205" xfId="12" applyNumberFormat="1" applyFont="1" applyFill="1" applyBorder="1" applyAlignment="1" applyProtection="1">
      <alignment vertical="center"/>
      <protection locked="0"/>
    </xf>
    <xf numFmtId="167" fontId="0" fillId="27" borderId="205" xfId="13" applyNumberFormat="1" applyFont="1" applyFill="1" applyBorder="1" applyAlignment="1" applyProtection="1">
      <alignment vertical="center"/>
    </xf>
    <xf numFmtId="167" fontId="0" fillId="27" borderId="203" xfId="13" applyNumberFormat="1" applyFont="1" applyFill="1" applyBorder="1" applyAlignment="1" applyProtection="1">
      <alignment vertical="center"/>
    </xf>
    <xf numFmtId="1" fontId="30" fillId="27" borderId="145" xfId="0" applyNumberFormat="1" applyFont="1" applyFill="1" applyBorder="1" applyAlignment="1" applyProtection="1">
      <alignment horizontal="left" vertical="center" wrapText="1"/>
    </xf>
    <xf numFmtId="167" fontId="30" fillId="27" borderId="205" xfId="13" applyNumberFormat="1" applyFont="1" applyFill="1" applyBorder="1" applyAlignment="1" applyProtection="1">
      <alignment vertical="center"/>
      <protection locked="0"/>
    </xf>
    <xf numFmtId="175" fontId="30" fillId="27" borderId="205" xfId="12" applyNumberFormat="1" applyFont="1" applyFill="1" applyBorder="1" applyAlignment="1" applyProtection="1">
      <alignment vertical="center"/>
      <protection locked="0"/>
    </xf>
    <xf numFmtId="167" fontId="30" fillId="27" borderId="203" xfId="13" applyNumberFormat="1" applyFont="1" applyFill="1" applyBorder="1" applyAlignment="1" applyProtection="1">
      <alignment vertical="center"/>
    </xf>
    <xf numFmtId="174" fontId="20" fillId="27" borderId="154" xfId="0" applyNumberFormat="1" applyFont="1" applyFill="1" applyBorder="1" applyAlignment="1" applyProtection="1">
      <alignment horizontal="left" vertical="center" wrapText="1"/>
    </xf>
    <xf numFmtId="167" fontId="20" fillId="27" borderId="205" xfId="13" applyNumberFormat="1" applyFont="1" applyFill="1" applyBorder="1" applyAlignment="1" applyProtection="1">
      <alignment vertical="center"/>
      <protection locked="0"/>
    </xf>
    <xf numFmtId="175" fontId="20" fillId="27" borderId="205" xfId="12" applyNumberFormat="1" applyFont="1" applyFill="1" applyBorder="1" applyAlignment="1" applyProtection="1">
      <alignment vertical="center"/>
      <protection locked="0"/>
    </xf>
    <xf numFmtId="167" fontId="20" fillId="27" borderId="205" xfId="13" applyNumberFormat="1" applyFont="1" applyFill="1" applyBorder="1" applyAlignment="1" applyProtection="1">
      <alignment vertical="center"/>
    </xf>
    <xf numFmtId="167" fontId="12" fillId="27" borderId="203" xfId="13" applyNumberFormat="1" applyFont="1" applyFill="1" applyBorder="1" applyAlignment="1" applyProtection="1">
      <alignment vertical="center"/>
    </xf>
    <xf numFmtId="0" fontId="0" fillId="0" borderId="203" xfId="0" applyFont="1" applyBorder="1" applyAlignment="1" applyProtection="1">
      <alignment horizontal="left" vertical="center"/>
      <protection locked="0"/>
    </xf>
    <xf numFmtId="0" fontId="0" fillId="12" borderId="205" xfId="0" applyFill="1" applyBorder="1" applyAlignment="1" applyProtection="1">
      <alignment horizontal="left" vertical="center"/>
      <protection locked="0"/>
    </xf>
    <xf numFmtId="0" fontId="30" fillId="12" borderId="212" xfId="0" applyFont="1" applyFill="1" applyBorder="1" applyAlignment="1" applyProtection="1">
      <alignment horizontal="left" vertical="center"/>
      <protection locked="0"/>
    </xf>
    <xf numFmtId="0" fontId="30" fillId="12" borderId="205" xfId="0" applyFont="1" applyFill="1" applyBorder="1" applyAlignment="1" applyProtection="1">
      <alignment horizontal="left" vertical="center"/>
      <protection locked="0"/>
    </xf>
    <xf numFmtId="0" fontId="30" fillId="29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right"/>
    </xf>
    <xf numFmtId="176" fontId="30" fillId="0" borderId="0" xfId="0" applyNumberFormat="1" applyFont="1" applyFill="1" applyBorder="1" applyAlignment="1" applyProtection="1">
      <alignment horizontal="center" vertical="center"/>
    </xf>
    <xf numFmtId="177" fontId="0" fillId="70" borderId="205" xfId="13" applyNumberFormat="1" applyFont="1" applyFill="1" applyBorder="1" applyAlignment="1" applyProtection="1">
      <alignment vertical="center"/>
    </xf>
    <xf numFmtId="167" fontId="30" fillId="12" borderId="205" xfId="13" applyNumberFormat="1" applyFont="1" applyFill="1" applyBorder="1" applyAlignment="1" applyProtection="1">
      <alignment vertical="center"/>
      <protection locked="0"/>
    </xf>
    <xf numFmtId="175" fontId="30" fillId="12" borderId="205" xfId="12" applyNumberFormat="1" applyFont="1" applyFill="1" applyBorder="1" applyAlignment="1" applyProtection="1">
      <alignment vertical="center"/>
      <protection locked="0"/>
    </xf>
    <xf numFmtId="174" fontId="30" fillId="0" borderId="154" xfId="0" applyNumberFormat="1" applyFont="1" applyFill="1" applyBorder="1" applyAlignment="1" applyProtection="1">
      <alignment horizontal="left" vertical="center" wrapText="1"/>
    </xf>
    <xf numFmtId="167" fontId="30" fillId="29" borderId="205" xfId="13" applyNumberFormat="1" applyFont="1" applyFill="1" applyBorder="1" applyAlignment="1" applyProtection="1">
      <alignment vertical="center"/>
    </xf>
    <xf numFmtId="167" fontId="29" fillId="28" borderId="203" xfId="13" applyNumberFormat="1" applyFont="1" applyFill="1" applyBorder="1" applyAlignment="1" applyProtection="1">
      <alignment vertical="center"/>
    </xf>
    <xf numFmtId="0" fontId="30" fillId="0" borderId="203" xfId="0" applyFont="1" applyBorder="1" applyAlignment="1" applyProtection="1">
      <alignment horizontal="left" vertical="center"/>
      <protection locked="0"/>
    </xf>
    <xf numFmtId="0" fontId="30" fillId="0" borderId="238" xfId="0" applyFont="1" applyBorder="1" applyAlignment="1" applyProtection="1">
      <alignment horizontal="left" vertical="center"/>
      <protection locked="0"/>
    </xf>
    <xf numFmtId="0" fontId="30" fillId="0" borderId="212" xfId="0" applyFont="1" applyBorder="1" applyAlignment="1" applyProtection="1">
      <alignment horizontal="left" vertical="center"/>
      <protection locked="0"/>
    </xf>
    <xf numFmtId="177" fontId="30" fillId="12" borderId="205" xfId="13" applyNumberFormat="1" applyFont="1" applyFill="1" applyBorder="1" applyAlignment="1" applyProtection="1">
      <alignment vertical="center"/>
      <protection locked="0"/>
    </xf>
    <xf numFmtId="0" fontId="30" fillId="12" borderId="31" xfId="0" applyFont="1" applyFill="1" applyBorder="1" applyAlignment="1" applyProtection="1">
      <alignment horizontal="left" vertical="center"/>
      <protection locked="0"/>
    </xf>
    <xf numFmtId="0" fontId="30" fillId="12" borderId="20" xfId="0" applyFont="1" applyFill="1" applyBorder="1" applyAlignment="1" applyProtection="1">
      <alignment horizontal="left" vertical="center"/>
      <protection locked="0"/>
    </xf>
    <xf numFmtId="0" fontId="30" fillId="12" borderId="20" xfId="0" applyFont="1" applyFill="1" applyBorder="1" applyProtection="1">
      <protection locked="0"/>
    </xf>
    <xf numFmtId="0" fontId="30" fillId="12" borderId="49" xfId="0" applyFont="1" applyFill="1" applyBorder="1" applyProtection="1">
      <protection locked="0"/>
    </xf>
    <xf numFmtId="177" fontId="30" fillId="12" borderId="67" xfId="13" applyNumberFormat="1" applyFont="1" applyFill="1" applyBorder="1" applyAlignment="1" applyProtection="1">
      <alignment vertical="center"/>
      <protection locked="0"/>
    </xf>
    <xf numFmtId="177" fontId="30" fillId="12" borderId="73" xfId="13" applyNumberFormat="1" applyFont="1" applyFill="1" applyBorder="1" applyAlignment="1" applyProtection="1">
      <alignment vertical="center"/>
      <protection locked="0"/>
    </xf>
    <xf numFmtId="176" fontId="30" fillId="29" borderId="78" xfId="0" applyNumberFormat="1" applyFont="1" applyFill="1" applyBorder="1" applyAlignment="1" applyProtection="1">
      <alignment horizontal="right" vertical="center"/>
    </xf>
    <xf numFmtId="176" fontId="30" fillId="0" borderId="78" xfId="0" applyNumberFormat="1" applyFont="1" applyFill="1" applyBorder="1" applyAlignment="1" applyProtection="1">
      <alignment horizontal="right" vertical="center"/>
    </xf>
    <xf numFmtId="0" fontId="30" fillId="12" borderId="205" xfId="0" applyFont="1" applyFill="1" applyBorder="1" applyProtection="1">
      <protection locked="0"/>
    </xf>
    <xf numFmtId="0" fontId="30" fillId="12" borderId="203" xfId="0" applyFont="1" applyFill="1" applyBorder="1" applyProtection="1">
      <protection locked="0"/>
    </xf>
    <xf numFmtId="177" fontId="30" fillId="12" borderId="203" xfId="13" applyNumberFormat="1" applyFont="1" applyFill="1" applyBorder="1" applyAlignment="1" applyProtection="1">
      <alignment vertical="center"/>
      <protection locked="0"/>
    </xf>
    <xf numFmtId="176" fontId="30" fillId="29" borderId="134" xfId="0" applyNumberFormat="1" applyFont="1" applyFill="1" applyBorder="1" applyAlignment="1" applyProtection="1">
      <alignment horizontal="right" vertical="center"/>
    </xf>
    <xf numFmtId="176" fontId="30" fillId="0" borderId="134" xfId="0" applyNumberFormat="1" applyFont="1" applyFill="1" applyBorder="1" applyAlignment="1" applyProtection="1">
      <alignment horizontal="right" vertical="center"/>
    </xf>
    <xf numFmtId="175" fontId="30" fillId="12" borderId="205" xfId="12" applyNumberFormat="1" applyFont="1" applyFill="1" applyBorder="1" applyProtection="1">
      <protection locked="0"/>
    </xf>
    <xf numFmtId="0" fontId="30" fillId="12" borderId="90" xfId="0" applyFont="1" applyFill="1" applyBorder="1" applyAlignment="1" applyProtection="1">
      <alignment vertical="center"/>
    </xf>
    <xf numFmtId="42" fontId="30" fillId="12" borderId="254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42" fontId="0" fillId="0" borderId="0" xfId="0" applyNumberFormat="1" applyFont="1" applyAlignment="1" applyProtection="1">
      <alignment vertical="center"/>
    </xf>
    <xf numFmtId="42" fontId="30" fillId="0" borderId="0" xfId="31" applyFont="1" applyAlignment="1" applyProtection="1">
      <alignment vertical="center"/>
    </xf>
    <xf numFmtId="0" fontId="30" fillId="0" borderId="0" xfId="0" applyFont="1" applyBorder="1" applyProtection="1"/>
    <xf numFmtId="0" fontId="30" fillId="0" borderId="0" xfId="0" applyFont="1" applyFill="1" applyBorder="1" applyProtection="1"/>
    <xf numFmtId="42" fontId="30" fillId="0" borderId="0" xfId="0" applyNumberFormat="1" applyFont="1" applyAlignment="1" applyProtection="1">
      <alignment vertical="center"/>
    </xf>
    <xf numFmtId="42" fontId="30" fillId="45" borderId="205" xfId="3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 wrapText="1"/>
    </xf>
    <xf numFmtId="0" fontId="30" fillId="11" borderId="0" xfId="0" applyFont="1" applyFill="1" applyProtection="1"/>
    <xf numFmtId="0" fontId="30" fillId="11" borderId="0" xfId="0" applyFont="1" applyFill="1" applyBorder="1" applyProtection="1"/>
    <xf numFmtId="167" fontId="29" fillId="9" borderId="0" xfId="13" applyNumberFormat="1" applyFont="1" applyFill="1" applyBorder="1" applyAlignment="1" applyProtection="1">
      <alignment vertical="center"/>
    </xf>
    <xf numFmtId="0" fontId="29" fillId="0" borderId="0" xfId="0" applyFont="1" applyBorder="1" applyProtection="1"/>
    <xf numFmtId="0" fontId="26" fillId="11" borderId="0" xfId="0" applyFont="1" applyFill="1" applyBorder="1" applyAlignment="1" applyProtection="1">
      <alignment horizontal="left" vertical="center" indent="2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12" borderId="205" xfId="0" applyFont="1" applyFill="1" applyBorder="1" applyAlignment="1" applyProtection="1">
      <alignment horizontal="center" vertical="center"/>
    </xf>
    <xf numFmtId="167" fontId="14" fillId="76" borderId="205" xfId="13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14" fillId="0" borderId="0" xfId="0" applyFont="1" applyBorder="1" applyAlignment="1" applyProtection="1">
      <alignment horizontal="right" vertical="center"/>
    </xf>
    <xf numFmtId="0" fontId="12" fillId="17" borderId="10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indent="2"/>
    </xf>
    <xf numFmtId="167" fontId="15" fillId="1" borderId="216" xfId="13" applyNumberFormat="1" applyFill="1" applyBorder="1" applyAlignment="1" applyProtection="1">
      <alignment vertical="center"/>
    </xf>
    <xf numFmtId="167" fontId="15" fillId="0" borderId="217" xfId="13" applyNumberFormat="1" applyBorder="1" applyAlignment="1" applyProtection="1">
      <alignment vertical="center"/>
    </xf>
    <xf numFmtId="167" fontId="15" fillId="0" borderId="54" xfId="13" applyNumberFormat="1" applyBorder="1" applyAlignment="1" applyProtection="1">
      <alignment vertical="center"/>
    </xf>
    <xf numFmtId="167" fontId="15" fillId="0" borderId="216" xfId="13" applyNumberFormat="1" applyBorder="1" applyAlignment="1" applyProtection="1">
      <alignment vertical="center"/>
    </xf>
    <xf numFmtId="167" fontId="15" fillId="0" borderId="218" xfId="13" applyNumberFormat="1" applyBorder="1" applyAlignment="1" applyProtection="1">
      <alignment vertical="center"/>
    </xf>
    <xf numFmtId="167" fontId="15" fillId="1" borderId="204" xfId="13" applyNumberFormat="1" applyFill="1" applyBorder="1" applyAlignment="1" applyProtection="1">
      <alignment vertical="center"/>
    </xf>
    <xf numFmtId="172" fontId="0" fillId="0" borderId="205" xfId="12" applyNumberFormat="1" applyFont="1" applyBorder="1" applyAlignment="1" applyProtection="1">
      <alignment vertical="center"/>
    </xf>
    <xf numFmtId="172" fontId="0" fillId="0" borderId="203" xfId="12" applyNumberFormat="1" applyFont="1" applyBorder="1" applyAlignment="1" applyProtection="1">
      <alignment vertical="center"/>
    </xf>
    <xf numFmtId="172" fontId="0" fillId="0" borderId="204" xfId="12" applyNumberFormat="1" applyFont="1" applyBorder="1" applyAlignment="1" applyProtection="1">
      <alignment vertical="center"/>
    </xf>
    <xf numFmtId="172" fontId="0" fillId="0" borderId="206" xfId="12" applyNumberFormat="1" applyFont="1" applyBorder="1" applyAlignment="1" applyProtection="1">
      <alignment vertical="center"/>
    </xf>
    <xf numFmtId="167" fontId="15" fillId="1" borderId="205" xfId="13" applyNumberFormat="1" applyFill="1" applyBorder="1" applyAlignment="1" applyProtection="1">
      <alignment vertical="center"/>
    </xf>
    <xf numFmtId="167" fontId="15" fillId="1" borderId="203" xfId="13" applyNumberFormat="1" applyFill="1" applyBorder="1" applyAlignment="1" applyProtection="1">
      <alignment vertical="center"/>
    </xf>
    <xf numFmtId="167" fontId="15" fillId="1" borderId="85" xfId="13" applyNumberFormat="1" applyFill="1" applyBorder="1" applyAlignment="1" applyProtection="1">
      <alignment vertical="center"/>
    </xf>
    <xf numFmtId="167" fontId="15" fillId="1" borderId="210" xfId="13" applyNumberFormat="1" applyFill="1" applyBorder="1" applyAlignment="1" applyProtection="1">
      <alignment vertical="center"/>
    </xf>
    <xf numFmtId="167" fontId="15" fillId="1" borderId="138" xfId="13" applyNumberFormat="1" applyFill="1" applyBorder="1" applyAlignment="1" applyProtection="1">
      <alignment vertical="center"/>
    </xf>
    <xf numFmtId="172" fontId="0" fillId="1" borderId="205" xfId="12" applyNumberFormat="1" applyFont="1" applyFill="1" applyBorder="1" applyAlignment="1" applyProtection="1">
      <alignment vertical="center"/>
    </xf>
    <xf numFmtId="172" fontId="0" fillId="1" borderId="203" xfId="12" applyNumberFormat="1" applyFont="1" applyFill="1" applyBorder="1" applyAlignment="1" applyProtection="1">
      <alignment vertical="center"/>
    </xf>
    <xf numFmtId="172" fontId="0" fillId="1" borderId="204" xfId="12" applyNumberFormat="1" applyFont="1" applyFill="1" applyBorder="1" applyAlignment="1" applyProtection="1">
      <alignment vertical="center"/>
    </xf>
    <xf numFmtId="172" fontId="0" fillId="1" borderId="206" xfId="12" applyNumberFormat="1" applyFont="1" applyFill="1" applyBorder="1" applyAlignment="1" applyProtection="1">
      <alignment vertical="center"/>
    </xf>
    <xf numFmtId="167" fontId="14" fillId="39" borderId="225" xfId="13" applyNumberFormat="1" applyFont="1" applyFill="1" applyBorder="1" applyAlignment="1" applyProtection="1">
      <alignment vertical="center"/>
    </xf>
    <xf numFmtId="167" fontId="14" fillId="39" borderId="226" xfId="13" applyNumberFormat="1" applyFont="1" applyFill="1" applyBorder="1" applyAlignment="1" applyProtection="1">
      <alignment vertical="center"/>
    </xf>
    <xf numFmtId="167" fontId="14" fillId="39" borderId="202" xfId="13" applyNumberFormat="1" applyFont="1" applyFill="1" applyBorder="1" applyAlignment="1" applyProtection="1">
      <alignment vertical="center"/>
    </xf>
    <xf numFmtId="177" fontId="0" fillId="45" borderId="85" xfId="13" applyNumberFormat="1" applyFont="1" applyFill="1" applyBorder="1" applyAlignment="1" applyProtection="1">
      <alignment vertical="center"/>
    </xf>
    <xf numFmtId="177" fontId="0" fillId="45" borderId="210" xfId="13" applyNumberFormat="1" applyFont="1" applyFill="1" applyBorder="1" applyAlignment="1" applyProtection="1">
      <alignment vertical="center"/>
    </xf>
    <xf numFmtId="177" fontId="0" fillId="45" borderId="240" xfId="13" applyNumberFormat="1" applyFont="1" applyFill="1" applyBorder="1" applyAlignment="1" applyProtection="1">
      <alignment vertical="center"/>
    </xf>
    <xf numFmtId="177" fontId="15" fillId="45" borderId="110" xfId="13" applyNumberFormat="1" applyFont="1" applyFill="1" applyBorder="1" applyAlignment="1" applyProtection="1">
      <alignment vertical="center"/>
    </xf>
    <xf numFmtId="177" fontId="15" fillId="45" borderId="108" xfId="13" applyNumberFormat="1" applyFont="1" applyFill="1" applyBorder="1" applyAlignment="1" applyProtection="1">
      <alignment vertical="center"/>
    </xf>
    <xf numFmtId="177" fontId="15" fillId="45" borderId="101" xfId="13" applyNumberFormat="1" applyFont="1" applyFill="1" applyBorder="1" applyAlignment="1" applyProtection="1">
      <alignment vertical="center"/>
    </xf>
    <xf numFmtId="178" fontId="14" fillId="29" borderId="137" xfId="0" applyNumberFormat="1" applyFont="1" applyFill="1" applyBorder="1" applyAlignment="1" applyProtection="1">
      <alignment vertical="center"/>
    </xf>
    <xf numFmtId="178" fontId="14" fillId="29" borderId="60" xfId="0" applyNumberFormat="1" applyFont="1" applyFill="1" applyBorder="1" applyAlignment="1" applyProtection="1">
      <alignment vertical="center"/>
    </xf>
    <xf numFmtId="178" fontId="14" fillId="29" borderId="124" xfId="0" applyNumberFormat="1" applyFont="1" applyFill="1" applyBorder="1" applyAlignment="1" applyProtection="1">
      <alignment vertical="center"/>
    </xf>
    <xf numFmtId="178" fontId="14" fillId="29" borderId="254" xfId="0" applyNumberFormat="1" applyFont="1" applyFill="1" applyBorder="1" applyAlignment="1" applyProtection="1">
      <alignment vertical="center"/>
    </xf>
    <xf numFmtId="178" fontId="14" fillId="56" borderId="204" xfId="0" applyNumberFormat="1" applyFont="1" applyFill="1" applyBorder="1" applyAlignment="1" applyProtection="1">
      <alignment vertical="center"/>
    </xf>
    <xf numFmtId="178" fontId="14" fillId="56" borderId="205" xfId="0" applyNumberFormat="1" applyFont="1" applyFill="1" applyBorder="1" applyAlignment="1" applyProtection="1">
      <alignment vertical="center"/>
    </xf>
    <xf numFmtId="178" fontId="14" fillId="56" borderId="206" xfId="0" applyNumberFormat="1" applyFont="1" applyFill="1" applyBorder="1" applyAlignment="1" applyProtection="1">
      <alignment vertical="center"/>
    </xf>
    <xf numFmtId="178" fontId="14" fillId="56" borderId="60" xfId="0" applyNumberFormat="1" applyFont="1" applyFill="1" applyBorder="1" applyAlignment="1" applyProtection="1">
      <alignment vertical="center"/>
    </xf>
    <xf numFmtId="0" fontId="14" fillId="21" borderId="222" xfId="0" applyFont="1" applyFill="1" applyBorder="1" applyAlignment="1" applyProtection="1">
      <alignment horizontal="center" vertical="center"/>
    </xf>
    <xf numFmtId="0" fontId="12" fillId="23" borderId="228" xfId="0" applyFont="1" applyFill="1" applyBorder="1" applyAlignment="1" applyProtection="1">
      <alignment horizontal="left" vertical="center"/>
    </xf>
    <xf numFmtId="167" fontId="12" fillId="23" borderId="205" xfId="13" applyNumberFormat="1" applyFont="1" applyFill="1" applyBorder="1" applyAlignment="1" applyProtection="1">
      <alignment horizontal="center" vertical="center"/>
    </xf>
    <xf numFmtId="167" fontId="12" fillId="57" borderId="205" xfId="13" applyNumberFormat="1" applyFont="1" applyFill="1" applyBorder="1" applyAlignment="1" applyProtection="1">
      <alignment vertical="center"/>
    </xf>
    <xf numFmtId="167" fontId="14" fillId="40" borderId="205" xfId="13" applyNumberFormat="1" applyFont="1" applyFill="1" applyBorder="1" applyAlignment="1" applyProtection="1">
      <alignment vertical="center"/>
    </xf>
    <xf numFmtId="167" fontId="12" fillId="23" borderId="222" xfId="1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21" borderId="205" xfId="0" applyFont="1" applyFill="1" applyBorder="1" applyAlignment="1" applyProtection="1">
      <alignment horizontal="left" vertical="center"/>
    </xf>
    <xf numFmtId="0" fontId="12" fillId="23" borderId="205" xfId="0" applyFont="1" applyFill="1" applyBorder="1" applyAlignment="1" applyProtection="1">
      <alignment horizontal="left" vertical="center"/>
    </xf>
    <xf numFmtId="0" fontId="14" fillId="20" borderId="143" xfId="0" applyFont="1" applyFill="1" applyBorder="1" applyAlignment="1" applyProtection="1">
      <alignment horizontal="center" vertical="center" wrapText="1"/>
    </xf>
    <xf numFmtId="0" fontId="12" fillId="20" borderId="228" xfId="0" applyFont="1" applyFill="1" applyBorder="1" applyAlignment="1" applyProtection="1">
      <alignment horizontal="left" vertical="center"/>
    </xf>
    <xf numFmtId="167" fontId="12" fillId="20" borderId="205" xfId="13" applyNumberFormat="1" applyFont="1" applyFill="1" applyBorder="1" applyAlignment="1" applyProtection="1">
      <alignment horizontal="center" vertical="center"/>
    </xf>
    <xf numFmtId="167" fontId="12" fillId="58" borderId="205" xfId="13" applyNumberFormat="1" applyFont="1" applyFill="1" applyBorder="1" applyAlignment="1" applyProtection="1">
      <alignment vertical="center"/>
    </xf>
    <xf numFmtId="167" fontId="14" fillId="41" borderId="205" xfId="13" applyNumberFormat="1" applyFont="1" applyFill="1" applyBorder="1" applyAlignment="1" applyProtection="1">
      <alignment vertical="center"/>
    </xf>
    <xf numFmtId="167" fontId="12" fillId="20" borderId="143" xfId="13" applyNumberFormat="1" applyFont="1" applyFill="1" applyBorder="1" applyAlignment="1" applyProtection="1">
      <alignment horizontal="center" vertical="center"/>
    </xf>
    <xf numFmtId="0" fontId="12" fillId="20" borderId="144" xfId="0" applyFont="1" applyFill="1" applyBorder="1" applyAlignment="1" applyProtection="1">
      <alignment horizontal="left" vertical="center"/>
    </xf>
    <xf numFmtId="180" fontId="14" fillId="19" borderId="159" xfId="13" applyNumberFormat="1" applyFont="1" applyFill="1" applyBorder="1" applyAlignment="1" applyProtection="1">
      <alignment horizontal="center"/>
    </xf>
    <xf numFmtId="1" fontId="0" fillId="0" borderId="143" xfId="0" applyNumberFormat="1" applyBorder="1" applyAlignment="1" applyProtection="1">
      <alignment horizontal="center" vertical="center" wrapText="1"/>
    </xf>
    <xf numFmtId="174" fontId="20" fillId="0" borderId="228" xfId="0" applyNumberFormat="1" applyFont="1" applyBorder="1" applyAlignment="1" applyProtection="1">
      <alignment horizontal="left"/>
    </xf>
    <xf numFmtId="167" fontId="0" fillId="45" borderId="205" xfId="13" applyNumberFormat="1" applyFont="1" applyFill="1" applyBorder="1" applyAlignment="1" applyProtection="1">
      <alignment vertical="center"/>
    </xf>
    <xf numFmtId="175" fontId="20" fillId="29" borderId="205" xfId="12" applyNumberFormat="1" applyFont="1" applyFill="1" applyBorder="1" applyAlignment="1" applyProtection="1">
      <alignment vertical="center"/>
    </xf>
    <xf numFmtId="174" fontId="20" fillId="0" borderId="154" xfId="0" applyNumberFormat="1" applyFont="1" applyBorder="1" applyAlignment="1" applyProtection="1">
      <alignment horizontal="left" wrapText="1"/>
    </xf>
    <xf numFmtId="174" fontId="20" fillId="0" borderId="154" xfId="0" applyNumberFormat="1" applyFont="1" applyBorder="1" applyAlignment="1" applyProtection="1">
      <alignment horizontal="left"/>
    </xf>
    <xf numFmtId="1" fontId="0" fillId="0" borderId="223" xfId="0" applyNumberFormat="1" applyBorder="1" applyAlignment="1" applyProtection="1">
      <alignment horizontal="center"/>
    </xf>
    <xf numFmtId="1" fontId="0" fillId="0" borderId="145" xfId="0" applyNumberFormat="1" applyBorder="1" applyProtection="1"/>
    <xf numFmtId="167" fontId="29" fillId="28" borderId="222" xfId="13" applyNumberFormat="1" applyFont="1" applyFill="1" applyBorder="1" applyAlignment="1" applyProtection="1">
      <alignment vertical="center"/>
    </xf>
    <xf numFmtId="174" fontId="31" fillId="0" borderId="228" xfId="0" applyNumberFormat="1" applyFont="1" applyBorder="1" applyAlignment="1" applyProtection="1">
      <alignment horizontal="left"/>
    </xf>
    <xf numFmtId="167" fontId="12" fillId="29" borderId="205" xfId="1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7" fontId="12" fillId="40" borderId="205" xfId="13" applyNumberFormat="1" applyFont="1" applyFill="1" applyBorder="1" applyAlignment="1" applyProtection="1">
      <alignment vertical="center"/>
    </xf>
    <xf numFmtId="180" fontId="14" fillId="19" borderId="205" xfId="13" applyNumberFormat="1" applyFont="1" applyFill="1" applyBorder="1" applyAlignment="1" applyProtection="1">
      <alignment horizontal="center"/>
    </xf>
    <xf numFmtId="0" fontId="12" fillId="20" borderId="205" xfId="0" applyFont="1" applyFill="1" applyBorder="1" applyAlignment="1" applyProtection="1">
      <alignment horizontal="left" vertical="center"/>
    </xf>
    <xf numFmtId="167" fontId="12" fillId="23" borderId="143" xfId="13" applyNumberFormat="1" applyFont="1" applyFill="1" applyBorder="1" applyAlignment="1" applyProtection="1">
      <alignment horizontal="center" vertical="center"/>
    </xf>
    <xf numFmtId="167" fontId="12" fillId="59" borderId="205" xfId="13" applyNumberFormat="1" applyFont="1" applyFill="1" applyBorder="1" applyAlignment="1" applyProtection="1">
      <alignment vertical="center"/>
    </xf>
    <xf numFmtId="167" fontId="20" fillId="60" borderId="205" xfId="13" applyNumberFormat="1" applyFont="1" applyFill="1" applyBorder="1" applyAlignment="1" applyProtection="1">
      <alignment vertical="center"/>
    </xf>
    <xf numFmtId="175" fontId="15" fillId="60" borderId="205" xfId="12" applyNumberFormat="1" applyFill="1" applyBorder="1" applyProtection="1"/>
    <xf numFmtId="167" fontId="12" fillId="20" borderId="205" xfId="13" applyNumberFormat="1" applyFont="1" applyFill="1" applyBorder="1" applyAlignment="1" applyProtection="1">
      <alignment vertical="center"/>
    </xf>
    <xf numFmtId="167" fontId="12" fillId="20" borderId="222" xfId="13" applyNumberFormat="1" applyFont="1" applyFill="1" applyBorder="1" applyAlignment="1" applyProtection="1">
      <alignment vertical="center"/>
    </xf>
    <xf numFmtId="1" fontId="0" fillId="43" borderId="143" xfId="0" applyNumberFormat="1" applyFill="1" applyBorder="1" applyAlignment="1" applyProtection="1">
      <alignment horizontal="center" vertical="center" wrapText="1"/>
    </xf>
    <xf numFmtId="167" fontId="20" fillId="61" borderId="205" xfId="13" applyNumberFormat="1" applyFont="1" applyFill="1" applyBorder="1" applyAlignment="1" applyProtection="1">
      <alignment vertical="center"/>
    </xf>
    <xf numFmtId="1" fontId="0" fillId="0" borderId="58" xfId="0" applyNumberFormat="1" applyBorder="1" applyAlignment="1" applyProtection="1">
      <alignment horizontal="center" vertical="center" wrapText="1"/>
    </xf>
    <xf numFmtId="174" fontId="20" fillId="0" borderId="191" xfId="0" applyNumberFormat="1" applyFont="1" applyBorder="1" applyAlignment="1" applyProtection="1">
      <alignment horizontal="left"/>
    </xf>
    <xf numFmtId="167" fontId="12" fillId="28" borderId="192" xfId="13" applyNumberFormat="1" applyFont="1" applyFill="1" applyBorder="1" applyAlignment="1" applyProtection="1">
      <alignment vertical="center"/>
    </xf>
    <xf numFmtId="167" fontId="0" fillId="28" borderId="205" xfId="13" applyNumberFormat="1" applyFont="1" applyFill="1" applyBorder="1" applyAlignment="1" applyProtection="1">
      <alignment vertical="center"/>
    </xf>
    <xf numFmtId="0" fontId="14" fillId="30" borderId="229" xfId="0" applyFont="1" applyFill="1" applyBorder="1" applyAlignment="1" applyProtection="1">
      <alignment horizontal="center" vertical="center" wrapText="1"/>
    </xf>
    <xf numFmtId="0" fontId="14" fillId="31" borderId="230" xfId="0" applyFont="1" applyFill="1" applyBorder="1" applyAlignment="1" applyProtection="1">
      <alignment vertical="center"/>
    </xf>
    <xf numFmtId="166" fontId="14" fillId="31" borderId="205" xfId="13" applyNumberFormat="1" applyFont="1" applyFill="1" applyBorder="1" applyAlignment="1" applyProtection="1">
      <alignment vertical="center"/>
    </xf>
    <xf numFmtId="166" fontId="14" fillId="32" borderId="205" xfId="13" applyNumberFormat="1" applyFont="1" applyFill="1" applyBorder="1" applyAlignment="1" applyProtection="1">
      <alignment vertical="center"/>
    </xf>
    <xf numFmtId="166" fontId="14" fillId="31" borderId="229" xfId="13" applyNumberFormat="1" applyFont="1" applyFill="1" applyBorder="1" applyAlignment="1" applyProtection="1">
      <alignment vertical="center"/>
    </xf>
    <xf numFmtId="180" fontId="15" fillId="28" borderId="205" xfId="13" applyNumberFormat="1" applyFill="1" applyBorder="1" applyProtection="1"/>
    <xf numFmtId="167" fontId="0" fillId="28" borderId="105" xfId="13" applyNumberFormat="1" applyFont="1" applyFill="1" applyBorder="1" applyAlignment="1" applyProtection="1">
      <alignment vertical="center"/>
    </xf>
    <xf numFmtId="0" fontId="14" fillId="12" borderId="105" xfId="0" applyFont="1" applyFill="1" applyBorder="1" applyAlignment="1" applyProtection="1">
      <alignment horizontal="center" vertical="center"/>
    </xf>
    <xf numFmtId="180" fontId="15" fillId="28" borderId="105" xfId="13" applyNumberFormat="1" applyFill="1" applyBorder="1" applyProtection="1"/>
    <xf numFmtId="0" fontId="22" fillId="0" borderId="0" xfId="20" applyFont="1"/>
    <xf numFmtId="0" fontId="0" fillId="0" borderId="0" xfId="0" applyFont="1"/>
    <xf numFmtId="0" fontId="22" fillId="0" borderId="0" xfId="20"/>
    <xf numFmtId="0" fontId="22" fillId="0" borderId="0" xfId="20" applyBorder="1" applyAlignment="1" applyProtection="1">
      <alignment horizontal="left" vertical="center"/>
    </xf>
    <xf numFmtId="0" fontId="22" fillId="0" borderId="0" xfId="20" applyBorder="1" applyAlignment="1" applyProtection="1">
      <alignment horizontal="left" vertical="center" wrapText="1"/>
    </xf>
    <xf numFmtId="0" fontId="22" fillId="0" borderId="0" xfId="20" applyBorder="1" applyAlignment="1" applyProtection="1">
      <alignment horizontal="left" vertical="center" indent="2"/>
    </xf>
    <xf numFmtId="0" fontId="22" fillId="0" borderId="0" xfId="20" applyAlignment="1" applyProtection="1">
      <alignment horizontal="center"/>
    </xf>
    <xf numFmtId="167" fontId="0" fillId="9" borderId="133" xfId="13" applyNumberFormat="1" applyFont="1" applyFill="1" applyBorder="1" applyAlignment="1" applyProtection="1">
      <alignment horizontal="right" vertical="center"/>
    </xf>
    <xf numFmtId="167" fontId="0" fillId="9" borderId="134" xfId="13" applyNumberFormat="1" applyFont="1" applyFill="1" applyBorder="1" applyAlignment="1" applyProtection="1">
      <alignment horizontal="right" vertical="center"/>
    </xf>
    <xf numFmtId="0" fontId="0" fillId="0" borderId="163" xfId="0" applyFont="1" applyFill="1" applyBorder="1" applyAlignment="1" applyProtection="1">
      <alignment horizontal="center" vertical="center" wrapText="1"/>
    </xf>
    <xf numFmtId="0" fontId="0" fillId="0" borderId="58" xfId="0" applyFont="1" applyFill="1" applyBorder="1" applyAlignment="1" applyProtection="1">
      <alignment horizontal="center" vertical="center" wrapText="1"/>
    </xf>
    <xf numFmtId="0" fontId="0" fillId="0" borderId="158" xfId="0" applyFont="1" applyFill="1" applyBorder="1" applyAlignment="1" applyProtection="1">
      <alignment horizontal="center" vertical="center" wrapText="1"/>
    </xf>
    <xf numFmtId="0" fontId="0" fillId="0" borderId="181" xfId="0" applyFont="1" applyFill="1" applyBorder="1" applyAlignment="1" applyProtection="1">
      <alignment horizontal="center" vertical="center" wrapText="1"/>
    </xf>
    <xf numFmtId="0" fontId="0" fillId="0" borderId="182" xfId="0" applyFont="1" applyFill="1" applyBorder="1" applyAlignment="1" applyProtection="1">
      <alignment horizontal="center" vertical="center" wrapText="1"/>
    </xf>
    <xf numFmtId="0" fontId="0" fillId="0" borderId="61" xfId="0" applyFont="1" applyFill="1" applyBorder="1" applyAlignment="1" applyProtection="1">
      <alignment horizontal="center" vertical="center" wrapText="1"/>
    </xf>
    <xf numFmtId="167" fontId="23" fillId="31" borderId="153" xfId="0" applyNumberFormat="1" applyFont="1" applyFill="1" applyBorder="1" applyAlignment="1" applyProtection="1">
      <alignment horizontal="center" vertical="center"/>
    </xf>
    <xf numFmtId="0" fontId="24" fillId="0" borderId="166" xfId="0" applyFont="1" applyFill="1" applyBorder="1" applyAlignment="1" applyProtection="1">
      <alignment horizontal="center" vertical="center" wrapText="1"/>
    </xf>
    <xf numFmtId="0" fontId="24" fillId="0" borderId="114" xfId="0" applyFont="1" applyFill="1" applyBorder="1" applyAlignment="1" applyProtection="1">
      <alignment horizontal="center" vertical="center" wrapText="1"/>
    </xf>
    <xf numFmtId="0" fontId="24" fillId="0" borderId="48" xfId="0" applyFont="1" applyFill="1" applyBorder="1" applyAlignment="1" applyProtection="1">
      <alignment horizontal="center" vertical="center" wrapText="1"/>
    </xf>
    <xf numFmtId="167" fontId="23" fillId="31" borderId="90" xfId="0" applyNumberFormat="1" applyFont="1" applyFill="1" applyBorder="1" applyAlignment="1" applyProtection="1">
      <alignment horizontal="right" vertical="center"/>
    </xf>
    <xf numFmtId="167" fontId="23" fillId="31" borderId="153" xfId="0" applyNumberFormat="1" applyFont="1" applyFill="1" applyBorder="1" applyAlignment="1" applyProtection="1">
      <alignment horizontal="right" vertical="center"/>
    </xf>
    <xf numFmtId="0" fontId="24" fillId="43" borderId="166" xfId="0" applyFont="1" applyFill="1" applyBorder="1" applyAlignment="1" applyProtection="1">
      <alignment horizontal="center" vertical="center" wrapText="1"/>
    </xf>
    <xf numFmtId="0" fontId="24" fillId="43" borderId="114" xfId="0" applyFont="1" applyFill="1" applyBorder="1" applyAlignment="1" applyProtection="1">
      <alignment horizontal="center" vertical="center" wrapText="1"/>
    </xf>
    <xf numFmtId="0" fontId="24" fillId="43" borderId="48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right" vertical="center"/>
    </xf>
    <xf numFmtId="0" fontId="24" fillId="12" borderId="3" xfId="0" applyFont="1" applyFill="1" applyBorder="1" applyAlignment="1" applyProtection="1">
      <alignment horizontal="center" vertical="center"/>
    </xf>
    <xf numFmtId="0" fontId="24" fillId="12" borderId="45" xfId="0" applyFont="1" applyFill="1" applyBorder="1" applyAlignment="1" applyProtection="1">
      <alignment horizontal="center" vertical="center"/>
    </xf>
    <xf numFmtId="0" fontId="24" fillId="12" borderId="4" xfId="0" applyFont="1" applyFill="1" applyBorder="1" applyAlignment="1" applyProtection="1">
      <alignment horizontal="center" vertical="center"/>
    </xf>
    <xf numFmtId="167" fontId="14" fillId="15" borderId="167" xfId="0" applyNumberFormat="1" applyFont="1" applyFill="1" applyBorder="1" applyAlignment="1" applyProtection="1">
      <alignment horizontal="center" vertical="center"/>
    </xf>
    <xf numFmtId="167" fontId="14" fillId="15" borderId="152" xfId="0" applyNumberFormat="1" applyFont="1" applyFill="1" applyBorder="1" applyAlignment="1" applyProtection="1">
      <alignment horizontal="center" vertical="center"/>
    </xf>
    <xf numFmtId="167" fontId="24" fillId="38" borderId="91" xfId="0" applyNumberFormat="1" applyFont="1" applyFill="1" applyBorder="1" applyAlignment="1" applyProtection="1">
      <alignment horizontal="center" vertical="center" wrapText="1"/>
    </xf>
    <xf numFmtId="167" fontId="24" fillId="38" borderId="93" xfId="0" applyNumberFormat="1" applyFont="1" applyFill="1" applyBorder="1" applyAlignment="1" applyProtection="1">
      <alignment horizontal="center" vertical="center" wrapText="1"/>
    </xf>
    <xf numFmtId="167" fontId="24" fillId="38" borderId="96" xfId="0" applyNumberFormat="1" applyFont="1" applyFill="1" applyBorder="1" applyAlignment="1" applyProtection="1">
      <alignment horizontal="center" vertical="center" wrapText="1"/>
    </xf>
    <xf numFmtId="167" fontId="25" fillId="33" borderId="91" xfId="0" applyNumberFormat="1" applyFont="1" applyFill="1" applyBorder="1" applyAlignment="1" applyProtection="1">
      <alignment horizontal="center" vertical="center" wrapText="1"/>
    </xf>
    <xf numFmtId="167" fontId="25" fillId="33" borderId="93" xfId="0" applyNumberFormat="1" applyFont="1" applyFill="1" applyBorder="1" applyAlignment="1" applyProtection="1">
      <alignment horizontal="center" vertical="center" wrapText="1"/>
    </xf>
    <xf numFmtId="167" fontId="25" fillId="33" borderId="96" xfId="0" applyNumberFormat="1" applyFont="1" applyFill="1" applyBorder="1" applyAlignment="1" applyProtection="1">
      <alignment horizontal="center" vertical="center" wrapText="1"/>
    </xf>
    <xf numFmtId="167" fontId="28" fillId="44" borderId="169" xfId="0" applyNumberFormat="1" applyFont="1" applyFill="1" applyBorder="1" applyAlignment="1" applyProtection="1">
      <alignment horizontal="center" vertical="center" wrapText="1"/>
    </xf>
    <xf numFmtId="167" fontId="28" fillId="44" borderId="57" xfId="0" applyNumberFormat="1" applyFont="1" applyFill="1" applyBorder="1" applyAlignment="1" applyProtection="1">
      <alignment horizontal="center" vertical="center" wrapText="1"/>
    </xf>
    <xf numFmtId="167" fontId="19" fillId="33" borderId="59" xfId="0" applyNumberFormat="1" applyFont="1" applyFill="1" applyBorder="1" applyAlignment="1" applyProtection="1">
      <alignment horizontal="center" vertical="center" wrapText="1"/>
    </xf>
    <xf numFmtId="167" fontId="19" fillId="33" borderId="58" xfId="0" applyNumberFormat="1" applyFont="1" applyFill="1" applyBorder="1" applyAlignment="1" applyProtection="1">
      <alignment horizontal="center" vertical="center" wrapText="1"/>
    </xf>
    <xf numFmtId="167" fontId="19" fillId="33" borderId="22" xfId="0" applyNumberFormat="1" applyFont="1" applyFill="1" applyBorder="1" applyAlignment="1" applyProtection="1">
      <alignment horizontal="center" vertical="center" wrapText="1"/>
    </xf>
    <xf numFmtId="167" fontId="19" fillId="33" borderId="55" xfId="0" applyNumberFormat="1" applyFont="1" applyFill="1" applyBorder="1" applyAlignment="1" applyProtection="1">
      <alignment horizontal="center" vertical="center" wrapText="1"/>
    </xf>
    <xf numFmtId="167" fontId="19" fillId="33" borderId="120" xfId="0" applyNumberFormat="1" applyFont="1" applyFill="1" applyBorder="1" applyAlignment="1" applyProtection="1">
      <alignment horizontal="center" vertical="center" wrapText="1"/>
    </xf>
    <xf numFmtId="167" fontId="19" fillId="33" borderId="114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indent="2"/>
    </xf>
    <xf numFmtId="0" fontId="14" fillId="15" borderId="164" xfId="0" applyFont="1" applyFill="1" applyBorder="1" applyAlignment="1" applyProtection="1">
      <alignment horizontal="center" vertical="center" wrapText="1"/>
    </xf>
    <xf numFmtId="0" fontId="14" fillId="15" borderId="165" xfId="0" applyFont="1" applyFill="1" applyBorder="1" applyAlignment="1" applyProtection="1">
      <alignment horizontal="center" vertical="center" wrapText="1"/>
    </xf>
    <xf numFmtId="0" fontId="14" fillId="15" borderId="161" xfId="0" applyFont="1" applyFill="1" applyBorder="1" applyAlignment="1" applyProtection="1">
      <alignment horizontal="center" vertical="center" wrapText="1"/>
    </xf>
    <xf numFmtId="0" fontId="14" fillId="15" borderId="162" xfId="0" applyFont="1" applyFill="1" applyBorder="1" applyAlignment="1" applyProtection="1">
      <alignment horizontal="center" vertical="center" wrapText="1"/>
    </xf>
    <xf numFmtId="0" fontId="23" fillId="43" borderId="184" xfId="0" applyFont="1" applyFill="1" applyBorder="1" applyAlignment="1" applyProtection="1">
      <alignment horizontal="center" vertical="center" wrapText="1"/>
    </xf>
    <xf numFmtId="0" fontId="23" fillId="43" borderId="118" xfId="0" applyFont="1" applyFill="1" applyBorder="1" applyAlignment="1" applyProtection="1">
      <alignment horizontal="center" vertical="center" wrapText="1"/>
    </xf>
    <xf numFmtId="0" fontId="23" fillId="43" borderId="185" xfId="0" applyFont="1" applyFill="1" applyBorder="1" applyAlignment="1" applyProtection="1">
      <alignment horizontal="center" vertical="center" wrapText="1"/>
    </xf>
    <xf numFmtId="0" fontId="23" fillId="0" borderId="112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23" fillId="0" borderId="113" xfId="0" applyFont="1" applyFill="1" applyBorder="1" applyAlignment="1" applyProtection="1">
      <alignment horizontal="center" vertical="center" wrapText="1"/>
    </xf>
    <xf numFmtId="0" fontId="24" fillId="13" borderId="131" xfId="0" applyFont="1" applyFill="1" applyBorder="1" applyAlignment="1" applyProtection="1">
      <alignment horizontal="center" vertical="center"/>
    </xf>
    <xf numFmtId="0" fontId="24" fillId="13" borderId="132" xfId="0" applyFont="1" applyFill="1" applyBorder="1" applyAlignment="1" applyProtection="1">
      <alignment horizontal="center" vertical="center"/>
    </xf>
    <xf numFmtId="167" fontId="25" fillId="33" borderId="257" xfId="0" applyNumberFormat="1" applyFont="1" applyFill="1" applyBorder="1" applyAlignment="1" applyProtection="1">
      <alignment horizontal="center" vertical="center" wrapText="1"/>
    </xf>
    <xf numFmtId="167" fontId="25" fillId="33" borderId="258" xfId="0" applyNumberFormat="1" applyFont="1" applyFill="1" applyBorder="1" applyAlignment="1" applyProtection="1">
      <alignment horizontal="center" vertical="center" wrapText="1"/>
    </xf>
    <xf numFmtId="167" fontId="25" fillId="33" borderId="255" xfId="0" applyNumberFormat="1" applyFont="1" applyFill="1" applyBorder="1" applyAlignment="1" applyProtection="1">
      <alignment horizontal="center" vertical="center" wrapText="1"/>
    </xf>
    <xf numFmtId="0" fontId="24" fillId="16" borderId="234" xfId="0" applyFont="1" applyFill="1" applyBorder="1" applyAlignment="1" applyProtection="1">
      <alignment horizontal="center" vertical="center" wrapText="1"/>
    </xf>
    <xf numFmtId="0" fontId="24" fillId="16" borderId="237" xfId="0" applyFont="1" applyFill="1" applyBorder="1" applyAlignment="1" applyProtection="1">
      <alignment horizontal="center" vertical="center" wrapText="1"/>
    </xf>
    <xf numFmtId="167" fontId="25" fillId="33" borderId="241" xfId="0" applyNumberFormat="1" applyFont="1" applyFill="1" applyBorder="1" applyAlignment="1" applyProtection="1">
      <alignment horizontal="center" vertical="center" wrapText="1"/>
    </xf>
    <xf numFmtId="167" fontId="25" fillId="33" borderId="242" xfId="0" applyNumberFormat="1" applyFont="1" applyFill="1" applyBorder="1" applyAlignment="1" applyProtection="1">
      <alignment horizontal="center" vertical="center" wrapText="1"/>
    </xf>
    <xf numFmtId="167" fontId="25" fillId="33" borderId="243" xfId="0" applyNumberFormat="1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left" vertical="center" indent="2"/>
    </xf>
    <xf numFmtId="0" fontId="24" fillId="15" borderId="23" xfId="0" applyFont="1" applyFill="1" applyBorder="1" applyAlignment="1" applyProtection="1">
      <alignment horizontal="center" vertical="center" wrapText="1"/>
    </xf>
    <xf numFmtId="0" fontId="24" fillId="15" borderId="46" xfId="0" applyFont="1" applyFill="1" applyBorder="1" applyAlignment="1" applyProtection="1">
      <alignment horizontal="center" vertical="center" wrapText="1"/>
    </xf>
    <xf numFmtId="0" fontId="24" fillId="16" borderId="220" xfId="0" applyFont="1" applyFill="1" applyBorder="1" applyAlignment="1" applyProtection="1">
      <alignment horizontal="center" vertical="center" wrapText="1"/>
    </xf>
    <xf numFmtId="0" fontId="24" fillId="16" borderId="16" xfId="0" applyFont="1" applyFill="1" applyBorder="1" applyAlignment="1" applyProtection="1">
      <alignment horizontal="center" vertical="center" wrapText="1"/>
    </xf>
    <xf numFmtId="0" fontId="24" fillId="15" borderId="133" xfId="0" applyFont="1" applyFill="1" applyBorder="1" applyAlignment="1" applyProtection="1">
      <alignment horizontal="center" vertical="center" wrapText="1"/>
    </xf>
    <xf numFmtId="0" fontId="24" fillId="15" borderId="116" xfId="0" applyFont="1" applyFill="1" applyBorder="1" applyAlignment="1" applyProtection="1">
      <alignment horizontal="center" vertical="center" wrapText="1"/>
    </xf>
    <xf numFmtId="0" fontId="23" fillId="45" borderId="85" xfId="0" applyFont="1" applyFill="1" applyBorder="1" applyAlignment="1" applyProtection="1">
      <alignment horizontal="center" vertical="center" wrapText="1"/>
    </xf>
    <xf numFmtId="0" fontId="23" fillId="45" borderId="136" xfId="0" applyFont="1" applyFill="1" applyBorder="1" applyAlignment="1" applyProtection="1">
      <alignment horizontal="center" vertical="center" wrapText="1"/>
    </xf>
    <xf numFmtId="0" fontId="23" fillId="45" borderId="5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177" fontId="0" fillId="55" borderId="186" xfId="13" applyNumberFormat="1" applyFont="1" applyFill="1" applyBorder="1" applyAlignment="1" applyProtection="1">
      <alignment horizontal="center" vertical="center"/>
    </xf>
    <xf numFmtId="177" fontId="0" fillId="55" borderId="238" xfId="13" applyNumberFormat="1" applyFont="1" applyFill="1" applyBorder="1" applyAlignment="1" applyProtection="1">
      <alignment horizontal="center" vertical="center"/>
    </xf>
    <xf numFmtId="177" fontId="0" fillId="55" borderId="239" xfId="13" applyNumberFormat="1" applyFont="1" applyFill="1" applyBorder="1" applyAlignment="1" applyProtection="1">
      <alignment horizontal="center" vertical="center"/>
    </xf>
    <xf numFmtId="167" fontId="25" fillId="33" borderId="168" xfId="0" applyNumberFormat="1" applyFont="1" applyFill="1" applyBorder="1" applyAlignment="1" applyProtection="1">
      <alignment horizontal="center" vertical="center" wrapText="1"/>
    </xf>
    <xf numFmtId="167" fontId="25" fillId="33" borderId="246" xfId="0" applyNumberFormat="1" applyFont="1" applyFill="1" applyBorder="1" applyAlignment="1" applyProtection="1">
      <alignment horizontal="center" vertical="center" wrapText="1"/>
    </xf>
    <xf numFmtId="167" fontId="14" fillId="15" borderId="184" xfId="0" applyNumberFormat="1" applyFont="1" applyFill="1" applyBorder="1" applyAlignment="1" applyProtection="1">
      <alignment horizontal="center" vertical="center" wrapText="1"/>
    </xf>
    <xf numFmtId="167" fontId="14" fillId="15" borderId="244" xfId="0" applyNumberFormat="1" applyFont="1" applyFill="1" applyBorder="1" applyAlignment="1" applyProtection="1">
      <alignment horizontal="center" vertical="center" wrapText="1"/>
    </xf>
    <xf numFmtId="167" fontId="14" fillId="15" borderId="245" xfId="0" applyNumberFormat="1" applyFont="1" applyFill="1" applyBorder="1" applyAlignment="1" applyProtection="1">
      <alignment horizontal="center" vertical="center" wrapText="1"/>
    </xf>
    <xf numFmtId="0" fontId="23" fillId="45" borderId="216" xfId="0" applyFont="1" applyFill="1" applyBorder="1" applyAlignment="1" applyProtection="1">
      <alignment horizontal="center" vertical="center" wrapText="1"/>
    </xf>
    <xf numFmtId="0" fontId="23" fillId="45" borderId="110" xfId="0" applyFont="1" applyFill="1" applyBorder="1" applyAlignment="1" applyProtection="1">
      <alignment horizontal="center" vertical="center" wrapText="1"/>
    </xf>
    <xf numFmtId="0" fontId="12" fillId="16" borderId="7" xfId="0" applyFont="1" applyFill="1" applyBorder="1" applyAlignment="1" applyProtection="1">
      <alignment horizontal="center" vertical="center"/>
    </xf>
    <xf numFmtId="0" fontId="12" fillId="16" borderId="5" xfId="0" applyFont="1" applyFill="1" applyBorder="1" applyAlignment="1" applyProtection="1">
      <alignment horizontal="center" vertical="center"/>
    </xf>
    <xf numFmtId="0" fontId="12" fillId="15" borderId="102" xfId="0" applyFont="1" applyFill="1" applyBorder="1" applyAlignment="1" applyProtection="1">
      <alignment horizontal="center" vertical="center"/>
    </xf>
    <xf numFmtId="0" fontId="12" fillId="15" borderId="144" xfId="0" applyFont="1" applyFill="1" applyBorder="1" applyAlignment="1" applyProtection="1">
      <alignment horizontal="center" vertical="center"/>
    </xf>
    <xf numFmtId="0" fontId="14" fillId="17" borderId="7" xfId="0" applyFont="1" applyFill="1" applyBorder="1" applyAlignment="1" applyProtection="1">
      <alignment horizontal="center" vertical="center"/>
    </xf>
    <xf numFmtId="0" fontId="14" fillId="17" borderId="12" xfId="0" applyFont="1" applyFill="1" applyBorder="1" applyAlignment="1" applyProtection="1">
      <alignment horizontal="center" vertical="center"/>
    </xf>
    <xf numFmtId="0" fontId="24" fillId="1" borderId="219" xfId="0" applyFont="1" applyFill="1" applyBorder="1" applyAlignment="1" applyProtection="1">
      <alignment horizontal="center" vertical="center" wrapText="1"/>
    </xf>
    <xf numFmtId="0" fontId="24" fillId="1" borderId="114" xfId="0" applyFont="1" applyFill="1" applyBorder="1" applyAlignment="1" applyProtection="1">
      <alignment horizontal="center" vertical="center" wrapText="1"/>
    </xf>
    <xf numFmtId="0" fontId="24" fillId="1" borderId="48" xfId="0" applyFont="1" applyFill="1" applyBorder="1" applyAlignment="1" applyProtection="1">
      <alignment horizontal="center" vertical="center" wrapText="1"/>
    </xf>
    <xf numFmtId="0" fontId="24" fillId="0" borderId="219" xfId="0" applyFont="1" applyFill="1" applyBorder="1" applyAlignment="1" applyProtection="1">
      <alignment horizontal="center" vertical="center" wrapText="1"/>
    </xf>
    <xf numFmtId="0" fontId="35" fillId="50" borderId="231" xfId="0" applyFont="1" applyFill="1" applyBorder="1" applyAlignment="1" applyProtection="1">
      <alignment horizontal="center" vertical="center" wrapText="1"/>
    </xf>
    <xf numFmtId="0" fontId="35" fillId="50" borderId="232" xfId="0" applyFont="1" applyFill="1" applyBorder="1" applyAlignment="1" applyProtection="1">
      <alignment horizontal="center" vertical="center" wrapText="1"/>
    </xf>
    <xf numFmtId="0" fontId="36" fillId="36" borderId="226" xfId="0" applyFont="1" applyFill="1" applyBorder="1" applyAlignment="1" applyProtection="1">
      <alignment horizontal="center" vertical="center"/>
    </xf>
    <xf numFmtId="0" fontId="36" fillId="36" borderId="159" xfId="0" applyFont="1" applyFill="1" applyBorder="1" applyAlignment="1" applyProtection="1">
      <alignment horizontal="center" vertical="center"/>
    </xf>
    <xf numFmtId="0" fontId="24" fillId="12" borderId="27" xfId="0" applyFont="1" applyFill="1" applyBorder="1" applyAlignment="1" applyProtection="1">
      <alignment horizontal="center" vertical="center"/>
    </xf>
    <xf numFmtId="0" fontId="24" fillId="12" borderId="18" xfId="0" applyFont="1" applyFill="1" applyBorder="1" applyAlignment="1" applyProtection="1">
      <alignment horizontal="center" vertical="center"/>
    </xf>
    <xf numFmtId="0" fontId="12" fillId="17" borderId="105" xfId="0" applyFont="1" applyFill="1" applyBorder="1" applyAlignment="1" applyProtection="1">
      <alignment horizontal="center" vertical="center"/>
    </xf>
    <xf numFmtId="0" fontId="12" fillId="16" borderId="105" xfId="0" applyFont="1" applyFill="1" applyBorder="1" applyAlignment="1" applyProtection="1">
      <alignment horizontal="center" vertical="center" wrapText="1"/>
    </xf>
    <xf numFmtId="165" fontId="14" fillId="18" borderId="140" xfId="13" applyFont="1" applyFill="1" applyBorder="1" applyAlignment="1" applyProtection="1">
      <alignment horizontal="center" vertical="center" wrapText="1"/>
    </xf>
    <xf numFmtId="165" fontId="14" fillId="18" borderId="58" xfId="13" applyFont="1" applyFill="1" applyBorder="1" applyAlignment="1" applyProtection="1">
      <alignment horizontal="center" vertical="center" wrapText="1"/>
    </xf>
    <xf numFmtId="176" fontId="0" fillId="26" borderId="112" xfId="0" applyNumberFormat="1" applyFont="1" applyFill="1" applyBorder="1" applyAlignment="1" applyProtection="1">
      <alignment horizontal="center" vertical="center"/>
    </xf>
    <xf numFmtId="176" fontId="0" fillId="26" borderId="83" xfId="0" applyNumberFormat="1" applyFont="1" applyFill="1" applyBorder="1" applyAlignment="1" applyProtection="1">
      <alignment horizontal="center" vertical="center"/>
    </xf>
    <xf numFmtId="0" fontId="11" fillId="47" borderId="113" xfId="0" applyFont="1" applyFill="1" applyBorder="1" applyAlignment="1" applyProtection="1">
      <alignment horizontal="center" vertical="center"/>
    </xf>
    <xf numFmtId="0" fontId="11" fillId="47" borderId="124" xfId="0" applyFont="1" applyFill="1" applyBorder="1" applyAlignment="1" applyProtection="1">
      <alignment horizontal="center" vertical="center"/>
    </xf>
    <xf numFmtId="0" fontId="11" fillId="46" borderId="113" xfId="0" applyFont="1" applyFill="1" applyBorder="1" applyAlignment="1" applyProtection="1">
      <alignment horizontal="center" vertical="center"/>
    </xf>
    <xf numFmtId="0" fontId="11" fillId="46" borderId="124" xfId="0" applyFont="1" applyFill="1" applyBorder="1" applyAlignment="1" applyProtection="1">
      <alignment horizontal="center" vertical="center"/>
    </xf>
    <xf numFmtId="176" fontId="0" fillId="26" borderId="84" xfId="0" applyNumberFormat="1" applyFont="1" applyFill="1" applyBorder="1" applyAlignment="1" applyProtection="1">
      <alignment horizontal="center" vertical="center"/>
    </xf>
    <xf numFmtId="0" fontId="14" fillId="16" borderId="263" xfId="0" applyFont="1" applyFill="1" applyBorder="1" applyAlignment="1" applyProtection="1">
      <alignment horizontal="center" vertical="center" wrapText="1"/>
    </xf>
    <xf numFmtId="0" fontId="14" fillId="16" borderId="48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12" fillId="16" borderId="67" xfId="0" applyFont="1" applyFill="1" applyBorder="1" applyAlignment="1" applyProtection="1">
      <alignment horizontal="center" vertical="center" wrapText="1"/>
    </xf>
    <xf numFmtId="0" fontId="19" fillId="47" borderId="112" xfId="0" applyFont="1" applyFill="1" applyBorder="1" applyAlignment="1" applyProtection="1">
      <alignment horizontal="center" vertical="center"/>
    </xf>
    <xf numFmtId="0" fontId="19" fillId="47" borderId="83" xfId="0" applyFont="1" applyFill="1" applyBorder="1" applyAlignment="1" applyProtection="1">
      <alignment horizontal="center" vertical="center"/>
    </xf>
    <xf numFmtId="0" fontId="19" fillId="46" borderId="112" xfId="0" applyFont="1" applyFill="1" applyBorder="1" applyAlignment="1" applyProtection="1">
      <alignment horizontal="center" vertical="center"/>
    </xf>
    <xf numFmtId="0" fontId="19" fillId="46" borderId="83" xfId="0" applyFont="1" applyFill="1" applyBorder="1" applyAlignment="1" applyProtection="1">
      <alignment horizontal="center" vertical="center"/>
    </xf>
    <xf numFmtId="0" fontId="11" fillId="14" borderId="113" xfId="0" applyFont="1" applyFill="1" applyBorder="1" applyAlignment="1" applyProtection="1">
      <alignment horizontal="center" vertical="center"/>
    </xf>
    <xf numFmtId="0" fontId="11" fillId="14" borderId="124" xfId="0" applyFont="1" applyFill="1" applyBorder="1" applyAlignment="1" applyProtection="1">
      <alignment horizontal="center" vertical="center"/>
    </xf>
    <xf numFmtId="0" fontId="19" fillId="14" borderId="82" xfId="0" applyFont="1" applyFill="1" applyBorder="1" applyAlignment="1" applyProtection="1">
      <alignment horizontal="center" vertical="center"/>
    </xf>
    <xf numFmtId="0" fontId="19" fillId="14" borderId="71" xfId="0" applyFont="1" applyFill="1" applyBorder="1" applyAlignment="1" applyProtection="1">
      <alignment horizontal="center" vertical="center"/>
    </xf>
    <xf numFmtId="0" fontId="19" fillId="47" borderId="82" xfId="0" applyFont="1" applyFill="1" applyBorder="1" applyAlignment="1" applyProtection="1">
      <alignment horizontal="center" vertical="center"/>
    </xf>
    <xf numFmtId="0" fontId="19" fillId="47" borderId="104" xfId="0" applyFont="1" applyFill="1" applyBorder="1" applyAlignment="1" applyProtection="1">
      <alignment horizontal="center" vertical="center"/>
    </xf>
    <xf numFmtId="0" fontId="19" fillId="46" borderId="84" xfId="0" applyFont="1" applyFill="1" applyBorder="1" applyAlignment="1" applyProtection="1">
      <alignment horizontal="center" vertical="center"/>
    </xf>
    <xf numFmtId="0" fontId="19" fillId="46" borderId="104" xfId="0" applyFont="1" applyFill="1" applyBorder="1" applyAlignment="1" applyProtection="1">
      <alignment horizontal="center" vertical="center"/>
    </xf>
    <xf numFmtId="0" fontId="19" fillId="14" borderId="112" xfId="0" applyFont="1" applyFill="1" applyBorder="1" applyAlignment="1" applyProtection="1">
      <alignment horizontal="center" vertical="center"/>
    </xf>
    <xf numFmtId="0" fontId="19" fillId="14" borderId="83" xfId="0" applyFont="1" applyFill="1" applyBorder="1" applyAlignment="1" applyProtection="1">
      <alignment horizontal="center" vertical="center"/>
    </xf>
    <xf numFmtId="0" fontId="24" fillId="46" borderId="70" xfId="0" applyFont="1" applyFill="1" applyBorder="1" applyAlignment="1" applyProtection="1">
      <alignment horizontal="center" vertical="center" textRotation="90" wrapText="1"/>
    </xf>
    <xf numFmtId="0" fontId="24" fillId="46" borderId="72" xfId="0" applyFont="1" applyFill="1" applyBorder="1" applyAlignment="1" applyProtection="1">
      <alignment horizontal="center" vertical="center" textRotation="90" wrapText="1"/>
    </xf>
    <xf numFmtId="0" fontId="24" fillId="46" borderId="48" xfId="0" applyFont="1" applyFill="1" applyBorder="1" applyAlignment="1" applyProtection="1">
      <alignment horizontal="center" vertical="center" textRotation="90" wrapText="1"/>
    </xf>
    <xf numFmtId="0" fontId="24" fillId="46" borderId="70" xfId="0" applyFont="1" applyFill="1" applyBorder="1" applyAlignment="1" applyProtection="1">
      <alignment horizontal="left" vertical="center" wrapText="1"/>
    </xf>
    <xf numFmtId="0" fontId="24" fillId="46" borderId="72" xfId="0" applyFont="1" applyFill="1" applyBorder="1" applyAlignment="1" applyProtection="1">
      <alignment horizontal="left" vertical="center" wrapText="1"/>
    </xf>
    <xf numFmtId="0" fontId="24" fillId="46" borderId="48" xfId="0" applyFont="1" applyFill="1" applyBorder="1" applyAlignment="1" applyProtection="1">
      <alignment horizontal="left" vertical="center" wrapText="1"/>
    </xf>
    <xf numFmtId="0" fontId="27" fillId="46" borderId="75" xfId="0" applyFont="1" applyFill="1" applyBorder="1" applyAlignment="1" applyProtection="1">
      <alignment horizontal="center" vertical="center" textRotation="90" wrapText="1"/>
    </xf>
    <xf numFmtId="0" fontId="27" fillId="46" borderId="60" xfId="0" applyFont="1" applyFill="1" applyBorder="1" applyAlignment="1" applyProtection="1">
      <alignment horizontal="center" vertical="center" textRotation="90" wrapText="1"/>
    </xf>
    <xf numFmtId="0" fontId="27" fillId="46" borderId="56" xfId="0" applyFont="1" applyFill="1" applyBorder="1" applyAlignment="1" applyProtection="1">
      <alignment horizontal="center" vertical="center" textRotation="90" wrapText="1"/>
    </xf>
    <xf numFmtId="0" fontId="24" fillId="12" borderId="133" xfId="0" applyFont="1" applyFill="1" applyBorder="1" applyAlignment="1" applyProtection="1">
      <alignment horizontal="left" vertical="center" wrapText="1"/>
      <protection locked="0"/>
    </xf>
    <xf numFmtId="0" fontId="24" fillId="12" borderId="134" xfId="0" applyFont="1" applyFill="1" applyBorder="1" applyAlignment="1" applyProtection="1">
      <alignment horizontal="left" vertical="center" wrapText="1"/>
      <protection locked="0"/>
    </xf>
    <xf numFmtId="0" fontId="24" fillId="12" borderId="135" xfId="0" applyFont="1" applyFill="1" applyBorder="1" applyAlignment="1" applyProtection="1">
      <alignment horizontal="left" vertical="center" wrapText="1"/>
      <protection locked="0"/>
    </xf>
    <xf numFmtId="0" fontId="24" fillId="12" borderId="76" xfId="0" applyFont="1" applyFill="1" applyBorder="1" applyAlignment="1" applyProtection="1">
      <alignment horizontal="left" vertical="center" wrapText="1"/>
      <protection locked="0"/>
    </xf>
    <xf numFmtId="0" fontId="24" fillId="12" borderId="77" xfId="0" applyFont="1" applyFill="1" applyBorder="1" applyAlignment="1" applyProtection="1">
      <alignment horizontal="left" vertical="center" wrapText="1"/>
      <protection locked="0"/>
    </xf>
    <xf numFmtId="0" fontId="24" fillId="12" borderId="74" xfId="0" applyFont="1" applyFill="1" applyBorder="1" applyAlignment="1" applyProtection="1">
      <alignment horizontal="left" vertical="center" wrapText="1"/>
      <protection locked="0"/>
    </xf>
    <xf numFmtId="0" fontId="24" fillId="12" borderId="70" xfId="0" applyFont="1" applyFill="1" applyBorder="1" applyAlignment="1" applyProtection="1">
      <alignment horizontal="left" vertical="center" wrapText="1"/>
      <protection locked="0"/>
    </xf>
    <xf numFmtId="0" fontId="24" fillId="12" borderId="114" xfId="0" applyFont="1" applyFill="1" applyBorder="1" applyAlignment="1" applyProtection="1">
      <alignment horizontal="left" vertical="center" wrapText="1"/>
      <protection locked="0"/>
    </xf>
    <xf numFmtId="0" fontId="24" fillId="12" borderId="72" xfId="0" applyFont="1" applyFill="1" applyBorder="1" applyAlignment="1" applyProtection="1">
      <alignment horizontal="left" vertical="center" wrapText="1"/>
      <protection locked="0"/>
    </xf>
    <xf numFmtId="0" fontId="24" fillId="12" borderId="48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/>
    </xf>
    <xf numFmtId="0" fontId="14" fillId="17" borderId="20" xfId="0" applyFont="1" applyFill="1" applyBorder="1" applyAlignment="1" applyProtection="1">
      <alignment horizontal="center" vertical="center" wrapText="1"/>
    </xf>
    <xf numFmtId="0" fontId="14" fillId="17" borderId="87" xfId="0" applyFont="1" applyFill="1" applyBorder="1" applyAlignment="1" applyProtection="1">
      <alignment horizontal="center" vertical="center" wrapText="1"/>
    </xf>
    <xf numFmtId="0" fontId="12" fillId="15" borderId="20" xfId="0" applyFont="1" applyFill="1" applyBorder="1" applyAlignment="1" applyProtection="1">
      <alignment horizontal="center" vertical="center" wrapText="1"/>
    </xf>
    <xf numFmtId="0" fontId="12" fillId="15" borderId="87" xfId="0" applyFont="1" applyFill="1" applyBorder="1" applyAlignment="1" applyProtection="1">
      <alignment horizontal="center" vertical="center" wrapText="1"/>
    </xf>
    <xf numFmtId="0" fontId="14" fillId="26" borderId="42" xfId="0" applyFont="1" applyFill="1" applyBorder="1" applyAlignment="1" applyProtection="1">
      <alignment horizontal="center" vertical="center" wrapText="1"/>
    </xf>
    <xf numFmtId="0" fontId="14" fillId="26" borderId="114" xfId="0" applyFont="1" applyFill="1" applyBorder="1" applyAlignment="1" applyProtection="1">
      <alignment horizontal="center" vertical="center" wrapText="1"/>
    </xf>
    <xf numFmtId="0" fontId="19" fillId="14" borderId="121" xfId="0" applyFont="1" applyFill="1" applyBorder="1" applyAlignment="1" applyProtection="1">
      <alignment horizontal="center" vertical="center"/>
    </xf>
    <xf numFmtId="0" fontId="19" fillId="46" borderId="121" xfId="0" applyFont="1" applyFill="1" applyBorder="1" applyAlignment="1" applyProtection="1">
      <alignment horizontal="center" vertical="center"/>
    </xf>
    <xf numFmtId="0" fontId="19" fillId="46" borderId="262" xfId="0" applyFont="1" applyFill="1" applyBorder="1" applyAlignment="1" applyProtection="1">
      <alignment horizontal="center" vertical="center"/>
    </xf>
    <xf numFmtId="0" fontId="14" fillId="16" borderId="35" xfId="0" applyFont="1" applyFill="1" applyBorder="1" applyAlignment="1" applyProtection="1">
      <alignment horizontal="center" vertical="center" wrapText="1"/>
    </xf>
    <xf numFmtId="0" fontId="14" fillId="16" borderId="39" xfId="0" applyFont="1" applyFill="1" applyBorder="1" applyAlignment="1" applyProtection="1">
      <alignment horizontal="center" vertical="center" wrapText="1"/>
    </xf>
    <xf numFmtId="0" fontId="14" fillId="16" borderId="43" xfId="0" applyFont="1" applyFill="1" applyBorder="1" applyAlignment="1" applyProtection="1">
      <alignment horizontal="center" vertical="center" wrapText="1"/>
    </xf>
    <xf numFmtId="0" fontId="14" fillId="16" borderId="151" xfId="0" applyFont="1" applyFill="1" applyBorder="1" applyAlignment="1" applyProtection="1">
      <alignment horizontal="center" vertical="center" wrapText="1"/>
    </xf>
    <xf numFmtId="0" fontId="14" fillId="16" borderId="33" xfId="0" applyFont="1" applyFill="1" applyBorder="1" applyAlignment="1" applyProtection="1">
      <alignment horizontal="center" vertical="center"/>
    </xf>
    <xf numFmtId="0" fontId="14" fillId="16" borderId="146" xfId="0" applyFont="1" applyFill="1" applyBorder="1" applyAlignment="1" applyProtection="1">
      <alignment horizontal="center" vertical="center"/>
    </xf>
    <xf numFmtId="0" fontId="14" fillId="16" borderId="33" xfId="0" applyFont="1" applyFill="1" applyBorder="1" applyAlignment="1" applyProtection="1">
      <alignment horizontal="center" vertical="center" wrapText="1"/>
    </xf>
    <xf numFmtId="0" fontId="14" fillId="16" borderId="146" xfId="0" applyFont="1" applyFill="1" applyBorder="1" applyAlignment="1" applyProtection="1">
      <alignment horizontal="center" vertical="center" wrapText="1"/>
    </xf>
    <xf numFmtId="0" fontId="23" fillId="16" borderId="34" xfId="0" applyFont="1" applyFill="1" applyBorder="1" applyAlignment="1" applyProtection="1">
      <alignment horizontal="center" vertical="center" wrapText="1"/>
    </xf>
    <xf numFmtId="0" fontId="23" fillId="16" borderId="40" xfId="0" applyFont="1" applyFill="1" applyBorder="1" applyAlignment="1" applyProtection="1">
      <alignment horizontal="center" vertical="center" wrapText="1"/>
    </xf>
    <xf numFmtId="0" fontId="23" fillId="16" borderId="4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24" fillId="43" borderId="118" xfId="0" applyFont="1" applyFill="1" applyBorder="1" applyAlignment="1" applyProtection="1">
      <alignment horizontal="left" vertical="center" wrapText="1"/>
    </xf>
    <xf numFmtId="0" fontId="24" fillId="43" borderId="185" xfId="0" applyFont="1" applyFill="1" applyBorder="1" applyAlignment="1" applyProtection="1">
      <alignment horizontal="left" vertical="center" wrapText="1"/>
    </xf>
    <xf numFmtId="0" fontId="24" fillId="0" borderId="257" xfId="0" applyFont="1" applyFill="1" applyBorder="1" applyAlignment="1" applyProtection="1">
      <alignment horizontal="left" vertical="center" wrapText="1"/>
    </xf>
    <xf numFmtId="0" fontId="24" fillId="0" borderId="118" xfId="0" applyFont="1" applyFill="1" applyBorder="1" applyAlignment="1" applyProtection="1">
      <alignment horizontal="left" vertical="center" wrapText="1"/>
    </xf>
    <xf numFmtId="0" fontId="24" fillId="0" borderId="185" xfId="0" applyFont="1" applyFill="1" applyBorder="1" applyAlignment="1" applyProtection="1">
      <alignment horizontal="left" vertical="center" wrapText="1"/>
    </xf>
    <xf numFmtId="0" fontId="24" fillId="16" borderId="258" xfId="0" applyFont="1" applyFill="1" applyBorder="1" applyAlignment="1" applyProtection="1">
      <alignment horizontal="center" vertical="center"/>
    </xf>
    <xf numFmtId="0" fontId="24" fillId="16" borderId="266" xfId="0" applyFont="1" applyFill="1" applyBorder="1" applyAlignment="1" applyProtection="1">
      <alignment horizontal="center" vertical="center"/>
    </xf>
    <xf numFmtId="0" fontId="24" fillId="12" borderId="10" xfId="0" applyFont="1" applyFill="1" applyBorder="1" applyAlignment="1" applyProtection="1">
      <alignment horizontal="center" vertical="center"/>
      <protection locked="0"/>
    </xf>
    <xf numFmtId="0" fontId="24" fillId="12" borderId="11" xfId="0" applyFont="1" applyFill="1" applyBorder="1" applyAlignment="1" applyProtection="1">
      <alignment horizontal="center" vertical="center"/>
      <protection locked="0"/>
    </xf>
    <xf numFmtId="167" fontId="24" fillId="17" borderId="241" xfId="0" applyNumberFormat="1" applyFont="1" applyFill="1" applyBorder="1" applyAlignment="1" applyProtection="1">
      <alignment horizontal="center" vertical="center" wrapText="1"/>
    </xf>
    <xf numFmtId="167" fontId="24" fillId="17" borderId="242" xfId="0" applyNumberFormat="1" applyFont="1" applyFill="1" applyBorder="1" applyAlignment="1" applyProtection="1">
      <alignment horizontal="center" vertical="center" wrapText="1"/>
    </xf>
    <xf numFmtId="167" fontId="24" fillId="17" borderId="243" xfId="0" applyNumberFormat="1" applyFont="1" applyFill="1" applyBorder="1" applyAlignment="1" applyProtection="1">
      <alignment horizontal="center" vertical="center" wrapText="1"/>
    </xf>
    <xf numFmtId="0" fontId="24" fillId="16" borderId="257" xfId="0" applyFont="1" applyFill="1" applyBorder="1" applyAlignment="1" applyProtection="1">
      <alignment horizontal="center" vertical="center"/>
    </xf>
    <xf numFmtId="167" fontId="25" fillId="33" borderId="30" xfId="0" applyNumberFormat="1" applyFont="1" applyFill="1" applyBorder="1" applyAlignment="1" applyProtection="1">
      <alignment horizontal="center" vertical="center" wrapText="1"/>
    </xf>
    <xf numFmtId="167" fontId="25" fillId="33" borderId="21" xfId="0" applyNumberFormat="1" applyFont="1" applyFill="1" applyBorder="1" applyAlignment="1" applyProtection="1">
      <alignment horizontal="center" vertical="center" wrapText="1"/>
    </xf>
    <xf numFmtId="167" fontId="25" fillId="33" borderId="264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indent="2"/>
    </xf>
    <xf numFmtId="0" fontId="14" fillId="15" borderId="76" xfId="0" applyFont="1" applyFill="1" applyBorder="1" applyAlignment="1" applyProtection="1">
      <alignment horizontal="center" vertical="center" wrapText="1"/>
    </xf>
    <xf numFmtId="0" fontId="14" fillId="15" borderId="78" xfId="0" applyFont="1" applyFill="1" applyBorder="1" applyAlignment="1" applyProtection="1">
      <alignment horizontal="center" vertical="center" wrapText="1"/>
    </xf>
    <xf numFmtId="0" fontId="14" fillId="15" borderId="83" xfId="0" applyFont="1" applyFill="1" applyBorder="1" applyAlignment="1" applyProtection="1">
      <alignment horizontal="center" vertical="center" wrapText="1"/>
    </xf>
    <xf numFmtId="0" fontId="14" fillId="15" borderId="38" xfId="0" applyFont="1" applyFill="1" applyBorder="1" applyAlignment="1" applyProtection="1">
      <alignment horizontal="center" vertical="center" wrapText="1"/>
    </xf>
    <xf numFmtId="0" fontId="24" fillId="66" borderId="205" xfId="0" applyFont="1" applyFill="1" applyBorder="1" applyAlignment="1" applyProtection="1">
      <alignment horizontal="center" vertical="center" wrapText="1"/>
    </xf>
    <xf numFmtId="176" fontId="24" fillId="71" borderId="205" xfId="0" applyNumberFormat="1" applyFont="1" applyFill="1" applyBorder="1" applyAlignment="1" applyProtection="1">
      <alignment horizontal="right" vertical="center"/>
    </xf>
    <xf numFmtId="0" fontId="24" fillId="43" borderId="205" xfId="0" applyFont="1" applyFill="1" applyBorder="1" applyAlignment="1" applyProtection="1">
      <alignment horizontal="center" vertical="center" wrapText="1"/>
    </xf>
    <xf numFmtId="176" fontId="24" fillId="29" borderId="205" xfId="0" applyNumberFormat="1" applyFont="1" applyFill="1" applyBorder="1" applyAlignment="1" applyProtection="1">
      <alignment horizontal="right" vertical="center"/>
    </xf>
    <xf numFmtId="0" fontId="14" fillId="27" borderId="205" xfId="0" applyFont="1" applyFill="1" applyBorder="1" applyAlignment="1" applyProtection="1">
      <alignment horizontal="center" vertical="center" wrapText="1"/>
    </xf>
    <xf numFmtId="0" fontId="14" fillId="16" borderId="20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4" fillId="11" borderId="205" xfId="0" applyFont="1" applyFill="1" applyBorder="1" applyAlignment="1" applyProtection="1">
      <alignment horizontal="center" vertical="center" wrapText="1"/>
    </xf>
    <xf numFmtId="0" fontId="14" fillId="16" borderId="205" xfId="0" applyFont="1" applyFill="1" applyBorder="1" applyAlignment="1" applyProtection="1">
      <alignment horizontal="center" vertical="center"/>
    </xf>
    <xf numFmtId="0" fontId="23" fillId="0" borderId="193" xfId="0" applyFont="1" applyFill="1" applyBorder="1" applyAlignment="1" applyProtection="1">
      <alignment horizontal="center" vertical="center" wrapText="1"/>
    </xf>
    <xf numFmtId="0" fontId="23" fillId="0" borderId="194" xfId="0" applyFont="1" applyFill="1" applyBorder="1" applyAlignment="1" applyProtection="1">
      <alignment horizontal="center" vertical="center" wrapText="1"/>
    </xf>
    <xf numFmtId="0" fontId="23" fillId="0" borderId="195" xfId="0" applyFont="1" applyFill="1" applyBorder="1" applyAlignment="1" applyProtection="1">
      <alignment horizontal="center" vertical="center" wrapText="1"/>
    </xf>
    <xf numFmtId="0" fontId="14" fillId="16" borderId="99" xfId="0" applyFont="1" applyFill="1" applyBorder="1" applyAlignment="1" applyProtection="1">
      <alignment horizontal="center" vertical="center" wrapText="1"/>
    </xf>
    <xf numFmtId="0" fontId="14" fillId="16" borderId="100" xfId="0" applyFont="1" applyFill="1" applyBorder="1" applyAlignment="1" applyProtection="1">
      <alignment horizontal="center" vertical="center" wrapText="1"/>
    </xf>
    <xf numFmtId="0" fontId="24" fillId="12" borderId="8" xfId="0" applyFont="1" applyFill="1" applyBorder="1" applyAlignment="1" applyProtection="1">
      <alignment horizontal="center" vertical="center"/>
      <protection locked="0"/>
    </xf>
    <xf numFmtId="0" fontId="24" fillId="12" borderId="45" xfId="0" applyFont="1" applyFill="1" applyBorder="1" applyAlignment="1" applyProtection="1">
      <alignment horizontal="center" vertical="center"/>
      <protection locked="0"/>
    </xf>
    <xf numFmtId="0" fontId="24" fillId="12" borderId="9" xfId="0" applyFont="1" applyFill="1" applyBorder="1" applyAlignment="1" applyProtection="1">
      <alignment horizontal="center" vertical="center"/>
      <protection locked="0"/>
    </xf>
    <xf numFmtId="0" fontId="14" fillId="16" borderId="139" xfId="0" applyFont="1" applyFill="1" applyBorder="1" applyAlignment="1" applyProtection="1">
      <alignment horizontal="center" vertical="center"/>
    </xf>
    <xf numFmtId="0" fontId="14" fillId="16" borderId="98" xfId="0" applyFont="1" applyFill="1" applyBorder="1" applyAlignment="1" applyProtection="1">
      <alignment horizontal="center" vertical="center"/>
    </xf>
    <xf numFmtId="0" fontId="24" fillId="15" borderId="91" xfId="0" applyFont="1" applyFill="1" applyBorder="1" applyAlignment="1" applyProtection="1">
      <alignment horizontal="center" vertical="center" wrapText="1"/>
    </xf>
    <xf numFmtId="0" fontId="24" fillId="15" borderId="187" xfId="0" applyFont="1" applyFill="1" applyBorder="1" applyAlignment="1" applyProtection="1">
      <alignment horizontal="center" vertical="center" wrapText="1"/>
    </xf>
    <xf numFmtId="0" fontId="24" fillId="15" borderId="95" xfId="0" applyFont="1" applyFill="1" applyBorder="1" applyAlignment="1" applyProtection="1">
      <alignment horizontal="center" vertical="center" wrapText="1"/>
    </xf>
    <xf numFmtId="0" fontId="24" fillId="15" borderId="196" xfId="0" applyFont="1" applyFill="1" applyBorder="1" applyAlignment="1" applyProtection="1">
      <alignment horizontal="center" vertical="center" wrapText="1"/>
    </xf>
    <xf numFmtId="0" fontId="14" fillId="16" borderId="141" xfId="0" applyFont="1" applyFill="1" applyBorder="1" applyAlignment="1" applyProtection="1">
      <alignment horizontal="center" vertical="center"/>
    </xf>
    <xf numFmtId="0" fontId="14" fillId="16" borderId="94" xfId="0" applyFont="1" applyFill="1" applyBorder="1" applyAlignment="1" applyProtection="1">
      <alignment horizontal="center" vertical="center"/>
    </xf>
    <xf numFmtId="167" fontId="14" fillId="17" borderId="97" xfId="0" applyNumberFormat="1" applyFont="1" applyFill="1" applyBorder="1" applyAlignment="1" applyProtection="1">
      <alignment horizontal="center" vertical="center" wrapText="1"/>
    </xf>
    <xf numFmtId="167" fontId="14" fillId="17" borderId="93" xfId="0" applyNumberFormat="1" applyFont="1" applyFill="1" applyBorder="1" applyAlignment="1" applyProtection="1">
      <alignment horizontal="center" vertical="center" wrapText="1"/>
    </xf>
    <xf numFmtId="167" fontId="14" fillId="17" borderId="92" xfId="0" applyNumberFormat="1" applyFont="1" applyFill="1" applyBorder="1" applyAlignment="1" applyProtection="1">
      <alignment horizontal="center" vertical="center" wrapText="1"/>
    </xf>
    <xf numFmtId="0" fontId="0" fillId="37" borderId="24" xfId="0" applyFont="1" applyFill="1" applyBorder="1" applyAlignment="1" applyProtection="1">
      <alignment horizontal="left" vertical="center" wrapText="1"/>
    </xf>
    <xf numFmtId="0" fontId="0" fillId="37" borderId="16" xfId="0" applyFont="1" applyFill="1" applyBorder="1" applyAlignment="1" applyProtection="1">
      <alignment horizontal="left" vertical="center" wrapText="1"/>
    </xf>
    <xf numFmtId="0" fontId="0" fillId="37" borderId="31" xfId="0" applyFont="1" applyFill="1" applyBorder="1" applyAlignment="1" applyProtection="1">
      <alignment horizontal="left" vertical="center" wrapText="1"/>
    </xf>
    <xf numFmtId="0" fontId="0" fillId="37" borderId="25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13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29" borderId="0" xfId="0" applyFill="1" applyAlignment="1" applyProtection="1">
      <alignment horizontal="left" vertical="center" wrapText="1"/>
      <protection locked="0"/>
    </xf>
    <xf numFmtId="0" fontId="0" fillId="29" borderId="0" xfId="0" applyFill="1" applyAlignment="1" applyProtection="1">
      <alignment horizontal="right"/>
      <protection locked="0"/>
    </xf>
    <xf numFmtId="0" fontId="0" fillId="29" borderId="227" xfId="0" applyFill="1" applyBorder="1" applyAlignment="1" applyProtection="1">
      <alignment horizontal="right"/>
      <protection locked="0"/>
    </xf>
    <xf numFmtId="0" fontId="12" fillId="15" borderId="265" xfId="0" applyFont="1" applyFill="1" applyBorder="1" applyAlignment="1" applyProtection="1">
      <alignment horizontal="center" vertical="center" wrapText="1"/>
    </xf>
    <xf numFmtId="0" fontId="12" fillId="15" borderId="271" xfId="0" applyFont="1" applyFill="1" applyBorder="1" applyAlignment="1" applyProtection="1">
      <alignment horizontal="center" vertical="center" wrapText="1"/>
    </xf>
    <xf numFmtId="0" fontId="12" fillId="16" borderId="205" xfId="0" applyFont="1" applyFill="1" applyBorder="1" applyAlignment="1" applyProtection="1">
      <alignment horizontal="center" vertical="center" wrapText="1"/>
    </xf>
    <xf numFmtId="0" fontId="12" fillId="17" borderId="205" xfId="0" applyFont="1" applyFill="1" applyBorder="1" applyAlignment="1" applyProtection="1">
      <alignment horizontal="center" vertical="center"/>
    </xf>
    <xf numFmtId="165" fontId="14" fillId="18" borderId="251" xfId="13" applyFont="1" applyFill="1" applyBorder="1" applyAlignment="1" applyProtection="1">
      <alignment horizontal="center" vertical="center" wrapText="1"/>
    </xf>
    <xf numFmtId="0" fontId="30" fillId="27" borderId="237" xfId="0" applyFont="1" applyFill="1" applyBorder="1" applyAlignment="1" applyProtection="1">
      <alignment horizontal="left" vertical="center" wrapText="1"/>
      <protection locked="0"/>
    </xf>
    <xf numFmtId="0" fontId="30" fillId="27" borderId="16" xfId="0" applyFont="1" applyFill="1" applyBorder="1" applyAlignment="1" applyProtection="1">
      <alignment horizontal="left" vertical="center" wrapText="1"/>
      <protection locked="0"/>
    </xf>
    <xf numFmtId="0" fontId="30" fillId="27" borderId="231" xfId="0" applyFont="1" applyFill="1" applyBorder="1" applyAlignment="1" applyProtection="1">
      <alignment horizontal="left" vertical="center" wrapText="1"/>
      <protection locked="0"/>
    </xf>
    <xf numFmtId="0" fontId="0" fillId="27" borderId="203" xfId="0" applyFont="1" applyFill="1" applyBorder="1" applyAlignment="1" applyProtection="1">
      <alignment horizontal="left" vertical="center" wrapText="1"/>
      <protection locked="0"/>
    </xf>
    <xf numFmtId="0" fontId="0" fillId="27" borderId="238" xfId="0" applyFont="1" applyFill="1" applyBorder="1" applyAlignment="1" applyProtection="1">
      <alignment horizontal="left" vertical="center" wrapText="1"/>
      <protection locked="0"/>
    </xf>
    <xf numFmtId="0" fontId="0" fillId="27" borderId="212" xfId="0" applyFont="1" applyFill="1" applyBorder="1" applyAlignment="1" applyProtection="1">
      <alignment horizontal="left" vertical="center" wrapText="1"/>
      <protection locked="0"/>
    </xf>
    <xf numFmtId="167" fontId="30" fillId="27" borderId="203" xfId="13" applyNumberFormat="1" applyFont="1" applyFill="1" applyBorder="1" applyAlignment="1" applyProtection="1">
      <alignment horizontal="left" vertical="center"/>
    </xf>
    <xf numFmtId="167" fontId="30" fillId="27" borderId="238" xfId="13" applyNumberFormat="1" applyFont="1" applyFill="1" applyBorder="1" applyAlignment="1" applyProtection="1">
      <alignment horizontal="left" vertical="center"/>
    </xf>
    <xf numFmtId="167" fontId="30" fillId="27" borderId="212" xfId="13" applyNumberFormat="1" applyFont="1" applyFill="1" applyBorder="1" applyAlignment="1" applyProtection="1">
      <alignment horizontal="left" vertical="center"/>
    </xf>
    <xf numFmtId="167" fontId="12" fillId="27" borderId="203" xfId="13" applyNumberFormat="1" applyFont="1" applyFill="1" applyBorder="1" applyAlignment="1" applyProtection="1">
      <alignment horizontal="center" vertical="center"/>
    </xf>
    <xf numFmtId="167" fontId="12" fillId="27" borderId="238" xfId="13" applyNumberFormat="1" applyFont="1" applyFill="1" applyBorder="1" applyAlignment="1" applyProtection="1">
      <alignment horizontal="center" vertical="center"/>
    </xf>
    <xf numFmtId="167" fontId="12" fillId="27" borderId="212" xfId="13" applyNumberFormat="1" applyFont="1" applyFill="1" applyBorder="1" applyAlignment="1" applyProtection="1">
      <alignment horizontal="center" vertical="center"/>
    </xf>
    <xf numFmtId="0" fontId="0" fillId="43" borderId="203" xfId="0" applyFill="1" applyBorder="1" applyAlignment="1" applyProtection="1">
      <alignment horizontal="left" vertical="center"/>
      <protection locked="0"/>
    </xf>
    <xf numFmtId="0" fontId="0" fillId="43" borderId="238" xfId="0" applyFill="1" applyBorder="1" applyAlignment="1" applyProtection="1">
      <alignment horizontal="left" vertical="center"/>
      <protection locked="0"/>
    </xf>
    <xf numFmtId="0" fontId="0" fillId="43" borderId="212" xfId="0" applyFill="1" applyBorder="1" applyAlignment="1" applyProtection="1">
      <alignment horizontal="left" vertical="center"/>
      <protection locked="0"/>
    </xf>
    <xf numFmtId="0" fontId="0" fillId="0" borderId="203" xfId="0" applyBorder="1" applyAlignment="1" applyProtection="1">
      <alignment horizontal="left" vertical="center"/>
      <protection locked="0"/>
    </xf>
    <xf numFmtId="0" fontId="0" fillId="0" borderId="238" xfId="0" applyBorder="1" applyAlignment="1" applyProtection="1">
      <alignment horizontal="left" vertical="center"/>
      <protection locked="0"/>
    </xf>
    <xf numFmtId="0" fontId="0" fillId="0" borderId="212" xfId="0" applyBorder="1" applyAlignment="1" applyProtection="1">
      <alignment horizontal="left" vertical="center"/>
      <protection locked="0"/>
    </xf>
    <xf numFmtId="0" fontId="0" fillId="0" borderId="203" xfId="0" applyBorder="1" applyAlignment="1" applyProtection="1">
      <alignment horizontal="left" vertical="center" wrapText="1"/>
      <protection locked="0"/>
    </xf>
    <xf numFmtId="0" fontId="0" fillId="0" borderId="238" xfId="0" applyBorder="1" applyAlignment="1" applyProtection="1">
      <alignment horizontal="left" vertical="center" wrapText="1"/>
      <protection locked="0"/>
    </xf>
    <xf numFmtId="0" fontId="0" fillId="0" borderId="212" xfId="0" applyBorder="1" applyAlignment="1" applyProtection="1">
      <alignment horizontal="left" vertical="center" wrapText="1"/>
      <protection locked="0"/>
    </xf>
    <xf numFmtId="0" fontId="0" fillId="74" borderId="203" xfId="0" applyFill="1" applyBorder="1" applyAlignment="1" applyProtection="1">
      <alignment horizontal="left" vertical="center"/>
      <protection locked="0"/>
    </xf>
    <xf numFmtId="0" fontId="0" fillId="74" borderId="238" xfId="0" applyFill="1" applyBorder="1" applyAlignment="1" applyProtection="1">
      <alignment horizontal="left" vertical="center"/>
      <protection locked="0"/>
    </xf>
    <xf numFmtId="0" fontId="0" fillId="74" borderId="212" xfId="0" applyFill="1" applyBorder="1" applyAlignment="1" applyProtection="1">
      <alignment horizontal="left" vertical="center"/>
      <protection locked="0"/>
    </xf>
    <xf numFmtId="0" fontId="0" fillId="0" borderId="272" xfId="0" applyBorder="1" applyAlignment="1" applyProtection="1">
      <alignment horizontal="left" vertical="center"/>
      <protection locked="0"/>
    </xf>
    <xf numFmtId="0" fontId="0" fillId="0" borderId="272" xfId="0" applyFont="1" applyBorder="1" applyAlignment="1" applyProtection="1">
      <alignment horizontal="left" vertical="center"/>
      <protection locked="0"/>
    </xf>
    <xf numFmtId="0" fontId="0" fillId="0" borderId="238" xfId="0" applyFont="1" applyBorder="1" applyAlignment="1" applyProtection="1">
      <alignment horizontal="left" vertical="center"/>
      <protection locked="0"/>
    </xf>
    <xf numFmtId="0" fontId="0" fillId="0" borderId="212" xfId="0" applyFont="1" applyBorder="1" applyAlignment="1" applyProtection="1">
      <alignment horizontal="left" vertical="center"/>
      <protection locked="0"/>
    </xf>
    <xf numFmtId="0" fontId="0" fillId="0" borderId="203" xfId="0" applyBorder="1" applyAlignment="1" applyProtection="1">
      <alignment horizontal="center" vertical="center"/>
      <protection locked="0"/>
    </xf>
    <xf numFmtId="0" fontId="0" fillId="0" borderId="238" xfId="0" applyBorder="1" applyAlignment="1" applyProtection="1">
      <alignment horizontal="center" vertical="center"/>
      <protection locked="0"/>
    </xf>
    <xf numFmtId="0" fontId="0" fillId="0" borderId="212" xfId="0" applyBorder="1" applyAlignment="1" applyProtection="1">
      <alignment horizontal="center" vertical="center"/>
      <protection locked="0"/>
    </xf>
    <xf numFmtId="0" fontId="30" fillId="27" borderId="212" xfId="0" applyFont="1" applyFill="1" applyBorder="1" applyAlignment="1" applyProtection="1">
      <alignment horizontal="left" vertical="center" wrapText="1"/>
      <protection locked="0"/>
    </xf>
    <xf numFmtId="0" fontId="30" fillId="27" borderId="205" xfId="0" applyFont="1" applyFill="1" applyBorder="1" applyAlignment="1" applyProtection="1">
      <alignment horizontal="left" vertical="center" wrapText="1"/>
      <protection locked="0"/>
    </xf>
    <xf numFmtId="0" fontId="30" fillId="27" borderId="203" xfId="0" applyFont="1" applyFill="1" applyBorder="1" applyAlignment="1" applyProtection="1">
      <alignment horizontal="left" vertical="center" wrapText="1"/>
      <protection locked="0"/>
    </xf>
    <xf numFmtId="0" fontId="30" fillId="27" borderId="238" xfId="0" applyFont="1" applyFill="1" applyBorder="1" applyAlignment="1" applyProtection="1">
      <alignment horizontal="left" vertical="center" wrapText="1"/>
      <protection locked="0"/>
    </xf>
    <xf numFmtId="167" fontId="30" fillId="27" borderId="203" xfId="13" applyNumberFormat="1" applyFont="1" applyFill="1" applyBorder="1" applyAlignment="1" applyProtection="1">
      <alignment vertical="center"/>
    </xf>
    <xf numFmtId="167" fontId="30" fillId="27" borderId="238" xfId="13" applyNumberFormat="1" applyFont="1" applyFill="1" applyBorder="1" applyAlignment="1" applyProtection="1">
      <alignment vertical="center"/>
    </xf>
    <xf numFmtId="167" fontId="30" fillId="27" borderId="212" xfId="13" applyNumberFormat="1" applyFont="1" applyFill="1" applyBorder="1" applyAlignment="1" applyProtection="1">
      <alignment vertical="center"/>
    </xf>
    <xf numFmtId="0" fontId="0" fillId="12" borderId="203" xfId="0" applyFill="1" applyBorder="1" applyAlignment="1" applyProtection="1">
      <alignment horizontal="left" vertical="center"/>
      <protection locked="0"/>
    </xf>
    <xf numFmtId="0" fontId="0" fillId="12" borderId="238" xfId="0" applyFill="1" applyBorder="1" applyAlignment="1" applyProtection="1">
      <alignment horizontal="left" vertical="center"/>
      <protection locked="0"/>
    </xf>
    <xf numFmtId="0" fontId="0" fillId="12" borderId="212" xfId="0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indent="2"/>
    </xf>
    <xf numFmtId="42" fontId="0" fillId="12" borderId="205" xfId="31" applyFont="1" applyFill="1" applyBorder="1" applyAlignment="1" applyProtection="1">
      <alignment horizontal="center" vertical="center"/>
      <protection locked="0"/>
    </xf>
    <xf numFmtId="42" fontId="0" fillId="49" borderId="205" xfId="31" applyFont="1" applyFill="1" applyBorder="1" applyAlignment="1" applyProtection="1">
      <alignment horizontal="center" vertical="center"/>
      <protection locked="0"/>
    </xf>
    <xf numFmtId="42" fontId="30" fillId="49" borderId="205" xfId="31" applyFont="1" applyFill="1" applyBorder="1" applyAlignment="1" applyProtection="1">
      <alignment horizontal="center" vertical="center"/>
      <protection locked="0"/>
    </xf>
    <xf numFmtId="0" fontId="24" fillId="12" borderId="36" xfId="0" applyFont="1" applyFill="1" applyBorder="1" applyAlignment="1" applyProtection="1">
      <alignment horizontal="center" vertical="center"/>
    </xf>
  </cellXfs>
  <cellStyles count="4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8" xr:uid="{00000000-0005-0000-0000-000011000000}"/>
    <cellStyle name="Millares 3 2" xfId="45" xr:uid="{00000000-0005-0000-0000-000012000000}"/>
    <cellStyle name="Millares 3 3" xfId="42" xr:uid="{00000000-0005-0000-0000-000013000000}"/>
    <cellStyle name="Moneda" xfId="13" builtinId="4"/>
    <cellStyle name="Moneda [0]" xfId="31" builtinId="7"/>
    <cellStyle name="Moneda [0] 2" xfId="40" xr:uid="{00000000-0005-0000-0000-000016000000}"/>
    <cellStyle name="Moneda 2" xfId="26" xr:uid="{00000000-0005-0000-0000-000017000000}"/>
    <cellStyle name="Moneda 3" xfId="25" xr:uid="{00000000-0005-0000-0000-000018000000}"/>
    <cellStyle name="Neutral" xfId="14" builtinId="28" customBuiltin="1"/>
    <cellStyle name="Normal" xfId="0" builtinId="0"/>
    <cellStyle name="Normal 2" xfId="27" xr:uid="{00000000-0005-0000-0000-00001B000000}"/>
    <cellStyle name="Normal 3" xfId="28" xr:uid="{00000000-0005-0000-0000-00001C000000}"/>
    <cellStyle name="Normal 4" xfId="29" xr:uid="{00000000-0005-0000-0000-00001D000000}"/>
    <cellStyle name="Normal 5" xfId="37" xr:uid="{00000000-0005-0000-0000-00001E000000}"/>
    <cellStyle name="Normal 5 2" xfId="44" xr:uid="{00000000-0005-0000-0000-00001F000000}"/>
    <cellStyle name="Normal 5 3" xfId="41" xr:uid="{00000000-0005-0000-0000-000020000000}"/>
    <cellStyle name="Note" xfId="15" xr:uid="{00000000-0005-0000-0000-000021000000}"/>
    <cellStyle name="Note 2" xfId="33" xr:uid="{00000000-0005-0000-0000-000022000000}"/>
    <cellStyle name="Note 2 2" xfId="43" xr:uid="{00000000-0005-0000-0000-000023000000}"/>
    <cellStyle name="Note 3" xfId="34" xr:uid="{00000000-0005-0000-0000-000024000000}"/>
    <cellStyle name="Note 4" xfId="32" xr:uid="{00000000-0005-0000-0000-000025000000}"/>
    <cellStyle name="Note 5" xfId="36" xr:uid="{00000000-0005-0000-0000-000026000000}"/>
    <cellStyle name="Note 6" xfId="35" xr:uid="{00000000-0005-0000-0000-000027000000}"/>
    <cellStyle name="Note 7" xfId="39" xr:uid="{00000000-0005-0000-0000-000028000000}"/>
    <cellStyle name="Porcentaje" xfId="16" builtinId="5"/>
    <cellStyle name="Porcentaje 2" xfId="30" xr:uid="{00000000-0005-0000-0000-00002A000000}"/>
    <cellStyle name="Status" xfId="17" xr:uid="{00000000-0005-0000-0000-00002B000000}"/>
    <cellStyle name="Text" xfId="18" xr:uid="{00000000-0005-0000-0000-00002C000000}"/>
    <cellStyle name="Warning" xfId="19" xr:uid="{00000000-0005-0000-0000-00002D000000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C00FF"/>
      <color rgb="FF000099"/>
      <color rgb="FF0000CC"/>
      <color rgb="FFFF0909"/>
      <color rgb="FF69D8FF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325597</xdr:colOff>
      <xdr:row>56</xdr:row>
      <xdr:rowOff>80472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D102C0-3099-4914-B85D-2B7F9CDC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1250"/>
          <a:ext cx="12517597" cy="7859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354176</xdr:colOff>
      <xdr:row>108</xdr:row>
      <xdr:rowOff>45564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70BEC7-2A4B-4FC2-9BF1-CBDDC95E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546176" cy="7983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306544</xdr:colOff>
      <xdr:row>159</xdr:row>
      <xdr:rowOff>137630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BCE87B8-2504-4BF6-8DAB-8E491B648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462500"/>
          <a:ext cx="12498544" cy="79163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48482</xdr:colOff>
      <xdr:row>210</xdr:row>
      <xdr:rowOff>137630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41B437-4CD0-4D20-A1B8-DC6C2E6C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558750"/>
          <a:ext cx="6144482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zoomScale="90" zoomScaleNormal="90" workbookViewId="0">
      <selection activeCell="V151" sqref="V151"/>
    </sheetView>
  </sheetViews>
  <sheetFormatPr baseColWidth="10" defaultColWidth="11.42578125" defaultRowHeight="12.75" x14ac:dyDescent="0.2"/>
  <cols>
    <col min="1" max="16384" width="11.42578125" style="54"/>
  </cols>
  <sheetData>
    <row r="1" spans="3:10" x14ac:dyDescent="0.2">
      <c r="J1" s="53"/>
    </row>
    <row r="2" spans="3:10" x14ac:dyDescent="0.2">
      <c r="J2" s="53" t="s">
        <v>83</v>
      </c>
    </row>
    <row r="3" spans="3:10" x14ac:dyDescent="0.2">
      <c r="J3" s="53"/>
    </row>
    <row r="5" spans="3:10" x14ac:dyDescent="0.2">
      <c r="C5" s="55"/>
      <c r="D5" s="55"/>
      <c r="E5" s="55"/>
      <c r="F5" s="55"/>
      <c r="G5" s="55"/>
      <c r="H5" s="55"/>
      <c r="I5" s="55"/>
      <c r="J5" s="55"/>
    </row>
    <row r="6" spans="3:10" x14ac:dyDescent="0.2">
      <c r="C6" s="55"/>
      <c r="D6" s="55"/>
      <c r="E6" s="55"/>
      <c r="F6" s="55"/>
      <c r="G6" s="55"/>
      <c r="H6" s="55"/>
      <c r="I6" s="55"/>
      <c r="J6" s="55"/>
    </row>
    <row r="7" spans="3:10" x14ac:dyDescent="0.2">
      <c r="C7" s="55"/>
      <c r="D7" s="55"/>
      <c r="E7" s="55"/>
      <c r="F7" s="55"/>
      <c r="G7" s="55"/>
      <c r="H7" s="55"/>
      <c r="I7" s="55"/>
      <c r="J7" s="55"/>
    </row>
    <row r="8" spans="3:10" x14ac:dyDescent="0.2">
      <c r="C8" s="55"/>
      <c r="D8" s="55"/>
      <c r="E8" s="55"/>
      <c r="F8" s="55"/>
      <c r="G8" s="55"/>
      <c r="H8" s="55"/>
      <c r="I8" s="55"/>
      <c r="J8" s="55"/>
    </row>
    <row r="9" spans="3:10" x14ac:dyDescent="0.2">
      <c r="C9" s="55"/>
      <c r="D9" s="55"/>
      <c r="E9" s="55"/>
      <c r="F9" s="55"/>
      <c r="G9" s="55"/>
      <c r="H9" s="55"/>
      <c r="I9" s="55"/>
      <c r="J9" s="55"/>
    </row>
    <row r="10" spans="3:10" x14ac:dyDescent="0.2">
      <c r="C10" s="55"/>
      <c r="D10" s="55"/>
      <c r="E10" s="55"/>
      <c r="F10" s="55"/>
      <c r="G10" s="55"/>
      <c r="H10" s="55"/>
      <c r="I10" s="55"/>
      <c r="J10" s="55"/>
    </row>
    <row r="11" spans="3:10" x14ac:dyDescent="0.2">
      <c r="C11" s="55"/>
      <c r="D11" s="55"/>
      <c r="E11" s="55"/>
      <c r="F11" s="55"/>
      <c r="G11" s="55"/>
      <c r="H11" s="55"/>
      <c r="I11" s="55"/>
      <c r="J11" s="55"/>
    </row>
    <row r="12" spans="3:10" x14ac:dyDescent="0.2">
      <c r="C12" s="55"/>
      <c r="D12" s="55"/>
      <c r="E12" s="55"/>
      <c r="F12" s="55"/>
      <c r="G12" s="55"/>
      <c r="H12" s="55"/>
      <c r="I12" s="55"/>
      <c r="J12" s="55"/>
    </row>
    <row r="13" spans="3:10" x14ac:dyDescent="0.2">
      <c r="C13" s="55"/>
      <c r="D13" s="55"/>
      <c r="E13" s="55"/>
      <c r="F13" s="55"/>
      <c r="G13" s="55"/>
      <c r="H13" s="55"/>
      <c r="I13" s="55"/>
      <c r="J13" s="55"/>
    </row>
    <row r="14" spans="3:10" x14ac:dyDescent="0.2">
      <c r="C14" s="55"/>
      <c r="D14" s="55"/>
      <c r="E14" s="55"/>
      <c r="F14" s="55"/>
      <c r="G14" s="55"/>
      <c r="H14" s="55"/>
      <c r="I14" s="55"/>
      <c r="J14" s="55"/>
    </row>
    <row r="15" spans="3:10" x14ac:dyDescent="0.2">
      <c r="C15" s="55"/>
      <c r="D15" s="55"/>
      <c r="E15" s="55"/>
      <c r="F15" s="55"/>
      <c r="G15" s="55"/>
      <c r="H15" s="55"/>
      <c r="I15" s="55"/>
      <c r="J15" s="55"/>
    </row>
    <row r="16" spans="3:10" x14ac:dyDescent="0.2">
      <c r="C16" s="55"/>
      <c r="D16" s="55"/>
      <c r="E16" s="55"/>
      <c r="F16" s="55"/>
      <c r="G16" s="55"/>
      <c r="H16" s="55"/>
      <c r="I16" s="55"/>
      <c r="J16" s="55"/>
    </row>
    <row r="17" spans="3:10" x14ac:dyDescent="0.2">
      <c r="C17" s="55"/>
      <c r="D17" s="55"/>
      <c r="E17" s="55"/>
      <c r="F17" s="55"/>
      <c r="G17" s="55"/>
      <c r="H17" s="55"/>
      <c r="I17" s="55"/>
      <c r="J17" s="55"/>
    </row>
    <row r="18" spans="3:10" x14ac:dyDescent="0.2">
      <c r="C18" s="55"/>
      <c r="D18" s="55"/>
      <c r="E18" s="55"/>
      <c r="F18" s="55"/>
      <c r="G18" s="55"/>
      <c r="H18" s="55"/>
      <c r="I18" s="55"/>
      <c r="J18" s="55"/>
    </row>
    <row r="19" spans="3:10" x14ac:dyDescent="0.2">
      <c r="C19" s="55"/>
      <c r="D19" s="55"/>
      <c r="E19" s="55"/>
      <c r="F19" s="55"/>
      <c r="G19" s="55"/>
      <c r="H19" s="55"/>
      <c r="I19" s="55"/>
      <c r="J19" s="55"/>
    </row>
    <row r="20" spans="3:10" x14ac:dyDescent="0.2">
      <c r="C20" s="55"/>
      <c r="D20" s="55"/>
      <c r="E20" s="55"/>
      <c r="F20" s="55"/>
      <c r="G20" s="55"/>
      <c r="H20" s="55"/>
      <c r="I20" s="55"/>
      <c r="J20" s="55"/>
    </row>
    <row r="21" spans="3:10" x14ac:dyDescent="0.2">
      <c r="C21" s="55"/>
      <c r="D21" s="55"/>
      <c r="E21" s="55"/>
      <c r="F21" s="55"/>
      <c r="G21" s="55"/>
      <c r="H21" s="55"/>
      <c r="I21" s="55"/>
      <c r="J21" s="55"/>
    </row>
    <row r="22" spans="3:10" x14ac:dyDescent="0.2">
      <c r="C22" s="55"/>
      <c r="D22" s="55"/>
      <c r="E22" s="55"/>
      <c r="F22" s="55"/>
      <c r="G22" s="55"/>
      <c r="H22" s="55"/>
      <c r="I22" s="55"/>
      <c r="J22" s="55"/>
    </row>
    <row r="23" spans="3:10" x14ac:dyDescent="0.2">
      <c r="C23" s="55"/>
      <c r="D23" s="55"/>
      <c r="E23" s="55"/>
      <c r="F23" s="55"/>
      <c r="G23" s="55"/>
      <c r="H23" s="55"/>
      <c r="I23" s="55"/>
      <c r="J23" s="55"/>
    </row>
    <row r="24" spans="3:10" x14ac:dyDescent="0.2">
      <c r="C24" s="55"/>
      <c r="D24" s="55"/>
      <c r="E24" s="55"/>
      <c r="F24" s="55"/>
      <c r="G24" s="55"/>
      <c r="H24" s="55"/>
      <c r="I24" s="55"/>
      <c r="J24" s="55"/>
    </row>
    <row r="25" spans="3:10" x14ac:dyDescent="0.2">
      <c r="C25" s="55"/>
      <c r="D25" s="55"/>
      <c r="E25" s="55"/>
      <c r="F25" s="55"/>
      <c r="G25" s="55"/>
      <c r="H25" s="55"/>
      <c r="I25" s="55"/>
      <c r="J25" s="55"/>
    </row>
    <row r="26" spans="3:10" x14ac:dyDescent="0.2">
      <c r="C26" s="55"/>
      <c r="D26" s="55"/>
      <c r="E26" s="55"/>
      <c r="F26" s="55"/>
      <c r="G26" s="55"/>
      <c r="H26" s="55"/>
      <c r="I26" s="55"/>
      <c r="J26" s="55"/>
    </row>
    <row r="27" spans="3:10" x14ac:dyDescent="0.2">
      <c r="C27" s="55"/>
      <c r="D27" s="55"/>
      <c r="E27" s="55"/>
      <c r="F27" s="55"/>
      <c r="G27" s="55"/>
      <c r="H27" s="55"/>
      <c r="I27" s="55"/>
      <c r="J27" s="55"/>
    </row>
    <row r="28" spans="3:10" x14ac:dyDescent="0.2">
      <c r="C28" s="55"/>
      <c r="D28" s="55"/>
      <c r="E28" s="55"/>
      <c r="F28" s="55"/>
      <c r="G28" s="55"/>
      <c r="H28" s="55"/>
      <c r="I28" s="55"/>
      <c r="J28" s="55"/>
    </row>
    <row r="29" spans="3:10" x14ac:dyDescent="0.2">
      <c r="C29" s="55"/>
      <c r="D29" s="55"/>
      <c r="E29" s="55"/>
      <c r="F29" s="55"/>
      <c r="G29" s="55"/>
      <c r="H29" s="55"/>
      <c r="I29" s="55"/>
      <c r="J29" s="55"/>
    </row>
    <row r="30" spans="3:10" x14ac:dyDescent="0.2">
      <c r="C30" s="55"/>
      <c r="D30" s="55"/>
      <c r="E30" s="55"/>
      <c r="F30" s="55"/>
      <c r="G30" s="55"/>
      <c r="H30" s="55"/>
      <c r="I30" s="55"/>
      <c r="J30" s="55"/>
    </row>
    <row r="31" spans="3:10" x14ac:dyDescent="0.2">
      <c r="C31" s="55"/>
      <c r="D31" s="55"/>
      <c r="E31" s="55"/>
      <c r="F31" s="55"/>
      <c r="G31" s="55"/>
      <c r="H31" s="55"/>
      <c r="I31" s="55"/>
      <c r="J31" s="55"/>
    </row>
    <row r="32" spans="3:10" x14ac:dyDescent="0.2">
      <c r="C32" s="55"/>
      <c r="D32" s="55"/>
      <c r="E32" s="55"/>
      <c r="F32" s="55"/>
      <c r="G32" s="55"/>
      <c r="H32" s="55"/>
      <c r="I32" s="55"/>
      <c r="J32" s="55"/>
    </row>
    <row r="33" spans="3:10" x14ac:dyDescent="0.2">
      <c r="C33" s="55"/>
      <c r="D33" s="55"/>
      <c r="E33" s="55"/>
      <c r="F33" s="55"/>
      <c r="G33" s="55"/>
      <c r="H33" s="55"/>
      <c r="I33" s="55"/>
      <c r="J33" s="55"/>
    </row>
    <row r="34" spans="3:10" x14ac:dyDescent="0.2">
      <c r="C34" s="55"/>
      <c r="D34" s="55"/>
      <c r="E34" s="55"/>
      <c r="F34" s="55"/>
      <c r="G34" s="55"/>
      <c r="H34" s="55"/>
      <c r="I34" s="55"/>
      <c r="J34" s="55"/>
    </row>
    <row r="35" spans="3:10" x14ac:dyDescent="0.2">
      <c r="C35" s="55"/>
      <c r="D35" s="55"/>
      <c r="E35" s="55"/>
      <c r="F35" s="55"/>
      <c r="G35" s="55"/>
      <c r="H35" s="55"/>
      <c r="I35" s="55"/>
      <c r="J35" s="55"/>
    </row>
    <row r="36" spans="3:10" x14ac:dyDescent="0.2">
      <c r="C36" s="55"/>
      <c r="D36" s="55"/>
      <c r="E36" s="55"/>
      <c r="F36" s="55"/>
      <c r="G36" s="55"/>
      <c r="H36" s="55"/>
      <c r="I36" s="55"/>
      <c r="J36" s="55"/>
    </row>
    <row r="37" spans="3:10" x14ac:dyDescent="0.2">
      <c r="C37" s="55"/>
      <c r="D37" s="55"/>
      <c r="E37" s="55"/>
      <c r="F37" s="55"/>
      <c r="G37" s="55"/>
      <c r="H37" s="55"/>
      <c r="I37" s="55"/>
      <c r="J37" s="55"/>
    </row>
    <row r="38" spans="3:10" x14ac:dyDescent="0.2">
      <c r="C38" s="55"/>
      <c r="D38" s="55"/>
      <c r="E38" s="55"/>
      <c r="F38" s="55"/>
      <c r="G38" s="55"/>
      <c r="H38" s="55"/>
      <c r="I38" s="55"/>
      <c r="J38" s="55"/>
    </row>
    <row r="39" spans="3:10" x14ac:dyDescent="0.2">
      <c r="C39" s="55"/>
      <c r="D39" s="55"/>
      <c r="E39" s="55"/>
      <c r="F39" s="55"/>
      <c r="G39" s="55"/>
      <c r="H39" s="55"/>
      <c r="I39" s="55"/>
      <c r="J39" s="55"/>
    </row>
    <row r="40" spans="3:10" x14ac:dyDescent="0.2">
      <c r="C40" s="55"/>
      <c r="D40" s="55"/>
      <c r="E40" s="55"/>
      <c r="F40" s="55"/>
      <c r="G40" s="55"/>
      <c r="H40" s="55"/>
      <c r="I40" s="55"/>
      <c r="J40" s="55"/>
    </row>
    <row r="41" spans="3:10" x14ac:dyDescent="0.2">
      <c r="C41" s="55"/>
      <c r="D41" s="55"/>
      <c r="E41" s="55"/>
      <c r="F41" s="55"/>
      <c r="G41" s="55"/>
      <c r="H41" s="55"/>
      <c r="I41" s="55"/>
      <c r="J41" s="55"/>
    </row>
    <row r="42" spans="3:10" x14ac:dyDescent="0.2">
      <c r="C42" s="55"/>
      <c r="D42" s="55"/>
      <c r="E42" s="55"/>
      <c r="F42" s="55"/>
      <c r="G42" s="55"/>
      <c r="H42" s="55"/>
      <c r="I42" s="55"/>
      <c r="J42" s="55"/>
    </row>
    <row r="43" spans="3:10" x14ac:dyDescent="0.2">
      <c r="C43" s="55"/>
      <c r="D43" s="55"/>
      <c r="E43" s="55"/>
      <c r="F43" s="55"/>
      <c r="G43" s="55"/>
      <c r="H43" s="55"/>
      <c r="I43" s="55"/>
      <c r="J43" s="55"/>
    </row>
    <row r="44" spans="3:10" x14ac:dyDescent="0.2">
      <c r="C44" s="55"/>
      <c r="D44" s="55"/>
      <c r="E44" s="55"/>
      <c r="F44" s="55"/>
      <c r="G44" s="55"/>
      <c r="H44" s="55"/>
      <c r="I44" s="55"/>
      <c r="J44" s="55"/>
    </row>
    <row r="45" spans="3:10" x14ac:dyDescent="0.2">
      <c r="C45" s="55"/>
      <c r="D45" s="55"/>
      <c r="E45" s="55"/>
      <c r="F45" s="55"/>
      <c r="G45" s="55"/>
      <c r="H45" s="55"/>
      <c r="I45" s="55"/>
      <c r="J45" s="55"/>
    </row>
    <row r="46" spans="3:10" x14ac:dyDescent="0.2">
      <c r="C46" s="55"/>
      <c r="D46" s="55"/>
      <c r="E46" s="55"/>
      <c r="F46" s="55"/>
      <c r="G46" s="55"/>
      <c r="H46" s="55"/>
      <c r="I46" s="55"/>
      <c r="J46" s="55"/>
    </row>
    <row r="47" spans="3:10" x14ac:dyDescent="0.2">
      <c r="C47" s="55"/>
      <c r="D47" s="55"/>
      <c r="E47" s="55"/>
      <c r="F47" s="55"/>
      <c r="G47" s="55"/>
      <c r="H47" s="55"/>
      <c r="I47" s="55"/>
      <c r="J47" s="55"/>
    </row>
    <row r="48" spans="3:10" x14ac:dyDescent="0.2">
      <c r="C48" s="55"/>
      <c r="D48" s="55"/>
      <c r="E48" s="55"/>
      <c r="F48" s="55"/>
      <c r="G48" s="55"/>
      <c r="H48" s="55"/>
      <c r="I48" s="55"/>
      <c r="J48" s="55"/>
    </row>
    <row r="49" spans="3:10" x14ac:dyDescent="0.2">
      <c r="C49" s="55"/>
      <c r="D49" s="55"/>
      <c r="E49" s="55"/>
      <c r="F49" s="55"/>
      <c r="G49" s="55"/>
      <c r="H49" s="55"/>
      <c r="I49" s="55"/>
      <c r="J49" s="55"/>
    </row>
    <row r="50" spans="3:10" x14ac:dyDescent="0.2">
      <c r="C50" s="55"/>
      <c r="D50" s="55"/>
      <c r="E50" s="55"/>
      <c r="F50" s="55"/>
      <c r="G50" s="55"/>
      <c r="H50" s="55"/>
      <c r="I50" s="55"/>
      <c r="J50" s="55"/>
    </row>
    <row r="51" spans="3:10" x14ac:dyDescent="0.2">
      <c r="C51" s="55"/>
      <c r="D51" s="55"/>
      <c r="E51" s="55"/>
      <c r="F51" s="55"/>
      <c r="G51" s="55"/>
      <c r="H51" s="55"/>
      <c r="I51" s="55"/>
      <c r="J51" s="55"/>
    </row>
    <row r="52" spans="3:10" x14ac:dyDescent="0.2">
      <c r="C52" s="55"/>
      <c r="D52" s="55"/>
      <c r="E52" s="55"/>
      <c r="F52" s="55"/>
      <c r="G52" s="55"/>
      <c r="H52" s="55"/>
      <c r="I52" s="55"/>
      <c r="J52" s="5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7"/>
  <sheetViews>
    <sheetView showGridLines="0" zoomScale="80" zoomScaleNormal="80" workbookViewId="0">
      <selection activeCell="N47" sqref="N47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34"/>
    </row>
    <row r="2" spans="2:11" x14ac:dyDescent="0.2">
      <c r="H2" s="34" t="s">
        <v>84</v>
      </c>
    </row>
    <row r="5" spans="2:11" x14ac:dyDescent="0.2">
      <c r="B5" s="783" t="s">
        <v>159</v>
      </c>
      <c r="C5" s="783"/>
      <c r="D5" s="783"/>
      <c r="E5" s="783"/>
      <c r="F5" s="783"/>
    </row>
    <row r="7" spans="2:11" x14ac:dyDescent="0.2">
      <c r="C7" s="185" t="s">
        <v>144</v>
      </c>
      <c r="D7" s="185"/>
      <c r="E7" s="185"/>
      <c r="F7" s="185"/>
      <c r="G7" s="185"/>
      <c r="H7" s="185"/>
      <c r="I7" s="185"/>
      <c r="J7" s="185"/>
      <c r="K7" s="185"/>
    </row>
    <row r="9" spans="2:11" x14ac:dyDescent="0.2">
      <c r="C9" s="185" t="s">
        <v>145</v>
      </c>
      <c r="D9" s="185"/>
      <c r="E9" s="185"/>
      <c r="F9" s="185"/>
      <c r="G9" s="185"/>
      <c r="H9" s="185"/>
      <c r="I9" s="184"/>
      <c r="J9" s="184"/>
      <c r="K9" s="184"/>
    </row>
    <row r="11" spans="2:11" x14ac:dyDescent="0.2">
      <c r="B11" s="785" t="s">
        <v>160</v>
      </c>
      <c r="C11" s="785"/>
      <c r="D11" s="785"/>
      <c r="E11" s="785"/>
      <c r="F11" s="785"/>
    </row>
    <row r="13" spans="2:11" x14ac:dyDescent="0.2">
      <c r="C13" s="186" t="s">
        <v>146</v>
      </c>
      <c r="D13" s="186"/>
      <c r="E13" s="186"/>
      <c r="F13" s="186"/>
      <c r="G13" s="186"/>
      <c r="H13" s="186"/>
    </row>
    <row r="15" spans="2:11" x14ac:dyDescent="0.2">
      <c r="C15" s="186" t="s">
        <v>147</v>
      </c>
      <c r="D15" s="186"/>
      <c r="E15" s="186"/>
      <c r="F15" s="186"/>
      <c r="G15" s="186"/>
      <c r="H15" s="186"/>
      <c r="I15" s="184"/>
      <c r="J15" s="184"/>
      <c r="K15" s="184"/>
    </row>
    <row r="19" spans="2:16" x14ac:dyDescent="0.2">
      <c r="B19" s="785" t="s">
        <v>161</v>
      </c>
      <c r="C19" s="785"/>
      <c r="D19" s="785"/>
      <c r="E19" s="785"/>
      <c r="F19" s="785"/>
    </row>
    <row r="21" spans="2:16" x14ac:dyDescent="0.2">
      <c r="C21" s="186" t="s">
        <v>149</v>
      </c>
      <c r="D21" s="186"/>
      <c r="E21" s="186"/>
      <c r="F21" s="187"/>
      <c r="G21" s="187"/>
      <c r="H21" s="187"/>
    </row>
    <row r="22" spans="2:16" x14ac:dyDescent="0.2">
      <c r="C22" s="784"/>
      <c r="D22" s="784"/>
      <c r="E22" s="784"/>
      <c r="F22" s="784"/>
      <c r="G22" s="784"/>
      <c r="H22" s="784"/>
      <c r="I22" s="784"/>
      <c r="J22" s="784"/>
      <c r="K22" s="784"/>
    </row>
    <row r="24" spans="2:16" x14ac:dyDescent="0.2">
      <c r="B24" s="785" t="s">
        <v>162</v>
      </c>
      <c r="C24" s="785"/>
      <c r="D24" s="785"/>
      <c r="E24" s="785"/>
      <c r="F24" s="785"/>
    </row>
    <row r="26" spans="2:16" x14ac:dyDescent="0.2">
      <c r="C26" s="188" t="s">
        <v>150</v>
      </c>
      <c r="D26" s="188"/>
      <c r="E26" s="188"/>
      <c r="F26" s="188"/>
      <c r="G26" s="188"/>
      <c r="H26" s="188"/>
      <c r="I26" s="188"/>
      <c r="J26" s="188"/>
    </row>
    <row r="27" spans="2:16" ht="12.75" customHeight="1" x14ac:dyDescent="0.2">
      <c r="C27" s="786" t="s">
        <v>151</v>
      </c>
      <c r="D27" s="786"/>
      <c r="E27" s="786"/>
      <c r="F27" s="786"/>
      <c r="G27" s="786"/>
      <c r="H27" s="786"/>
      <c r="I27" s="786"/>
      <c r="J27" s="786"/>
      <c r="K27" s="786"/>
      <c r="L27" s="786"/>
      <c r="M27" s="786"/>
    </row>
    <row r="28" spans="2:16" ht="12.75" customHeight="1" x14ac:dyDescent="0.2">
      <c r="C28" s="786"/>
      <c r="D28" s="786"/>
      <c r="E28" s="786"/>
      <c r="F28" s="786"/>
      <c r="G28" s="786"/>
      <c r="H28" s="786"/>
      <c r="I28" s="786"/>
      <c r="J28" s="786"/>
      <c r="K28" s="786"/>
      <c r="L28" s="786"/>
      <c r="M28" s="786"/>
    </row>
    <row r="29" spans="2:16" ht="12.75" customHeight="1" x14ac:dyDescent="0.2">
      <c r="C29" s="188" t="s">
        <v>152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2:16" ht="12.75" customHeight="1" x14ac:dyDescent="0.2"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2:16" ht="12.75" customHeight="1" x14ac:dyDescent="0.2">
      <c r="C31" s="192" t="s">
        <v>153</v>
      </c>
      <c r="D31" s="189"/>
      <c r="E31" s="189"/>
      <c r="F31" s="191"/>
      <c r="G31" s="189"/>
      <c r="H31" s="189"/>
      <c r="I31" s="189"/>
      <c r="J31" s="189"/>
      <c r="K31" s="189"/>
      <c r="L31" s="189"/>
      <c r="M31" s="189"/>
      <c r="N31" s="187"/>
      <c r="O31" s="187"/>
      <c r="P31" s="187"/>
    </row>
    <row r="32" spans="2:16" ht="12.75" customHeight="1" x14ac:dyDescent="0.2">
      <c r="C32" s="190"/>
      <c r="D32" s="190"/>
      <c r="E32" s="190"/>
      <c r="F32" s="190"/>
      <c r="G32" s="190"/>
      <c r="H32" s="190"/>
      <c r="I32" s="189"/>
      <c r="J32" s="189"/>
      <c r="K32" s="189"/>
      <c r="L32" s="189"/>
      <c r="M32" s="189"/>
      <c r="N32" s="187"/>
    </row>
    <row r="33" spans="2:19" ht="12.75" customHeight="1" x14ac:dyDescent="0.2">
      <c r="C33" s="787" t="s">
        <v>154</v>
      </c>
      <c r="D33" s="787"/>
      <c r="E33" s="787"/>
      <c r="F33" s="787"/>
      <c r="G33" s="787"/>
      <c r="H33" s="787"/>
      <c r="I33" s="787"/>
      <c r="J33" s="787"/>
      <c r="K33" s="787"/>
      <c r="L33" s="787"/>
      <c r="M33" s="787"/>
      <c r="N33" s="187"/>
    </row>
    <row r="34" spans="2:19" ht="12.75" customHeight="1" x14ac:dyDescent="0.2">
      <c r="C34" s="146"/>
      <c r="D34" s="146"/>
      <c r="E34" s="146"/>
      <c r="F34" s="146"/>
      <c r="G34" s="146"/>
      <c r="H34" s="146"/>
      <c r="I34" s="188"/>
      <c r="J34" s="188"/>
      <c r="K34" s="188"/>
      <c r="L34" s="188"/>
      <c r="M34" s="188"/>
      <c r="N34" s="187"/>
    </row>
    <row r="35" spans="2:19" ht="12.75" customHeight="1" x14ac:dyDescent="0.2">
      <c r="C35" s="189" t="s">
        <v>155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7"/>
    </row>
    <row r="36" spans="2:19" ht="12.75" customHeight="1" x14ac:dyDescent="0.2">
      <c r="C36" s="190"/>
      <c r="D36" s="190"/>
      <c r="E36" s="190"/>
      <c r="F36" s="190"/>
      <c r="G36" s="190"/>
      <c r="H36" s="190"/>
      <c r="I36" s="189"/>
      <c r="J36" s="189"/>
      <c r="K36" s="189"/>
      <c r="L36" s="189"/>
      <c r="M36" s="189"/>
      <c r="N36" s="187"/>
    </row>
    <row r="37" spans="2:19" ht="12.75" customHeight="1" x14ac:dyDescent="0.2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</row>
    <row r="38" spans="2:19" ht="12.75" customHeight="1" x14ac:dyDescent="0.2"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2:19" ht="12.75" customHeight="1" x14ac:dyDescent="0.2">
      <c r="B39" s="192" t="s">
        <v>163</v>
      </c>
      <c r="C39" s="18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2:19" x14ac:dyDescent="0.2">
      <c r="O40" s="784"/>
      <c r="P40" s="784"/>
      <c r="Q40" s="784"/>
      <c r="R40" s="784"/>
      <c r="S40" s="784"/>
    </row>
    <row r="41" spans="2:19" x14ac:dyDescent="0.2">
      <c r="C41" s="788" t="s">
        <v>156</v>
      </c>
      <c r="D41" s="788"/>
      <c r="E41" s="788"/>
      <c r="F41" s="788"/>
    </row>
    <row r="42" spans="2:19" x14ac:dyDescent="0.2">
      <c r="C42" s="784"/>
      <c r="D42" s="784"/>
      <c r="E42" s="784"/>
      <c r="F42" s="784"/>
      <c r="G42" s="784"/>
      <c r="H42" s="784"/>
      <c r="I42" s="784"/>
      <c r="J42" s="784"/>
    </row>
    <row r="44" spans="2:19" x14ac:dyDescent="0.2">
      <c r="B44" s="785" t="s">
        <v>164</v>
      </c>
      <c r="C44" s="785"/>
      <c r="D44" s="785"/>
      <c r="E44" s="785"/>
      <c r="F44" s="785"/>
    </row>
    <row r="46" spans="2:19" x14ac:dyDescent="0.2">
      <c r="C46" s="193" t="s">
        <v>157</v>
      </c>
      <c r="D46" s="193"/>
      <c r="E46" s="193"/>
      <c r="F46" s="193"/>
      <c r="G46" s="193"/>
      <c r="H46" s="193"/>
      <c r="I46" s="193"/>
      <c r="J46" s="193"/>
      <c r="K46" s="194"/>
      <c r="L46" s="194"/>
      <c r="M46" s="194"/>
    </row>
    <row r="50" spans="2:13" x14ac:dyDescent="0.2">
      <c r="B50" s="785" t="s">
        <v>165</v>
      </c>
      <c r="C50" s="785"/>
      <c r="D50" s="785"/>
      <c r="E50" s="785"/>
      <c r="F50" s="785"/>
    </row>
    <row r="52" spans="2:13" x14ac:dyDescent="0.2">
      <c r="C52" s="188" t="s">
        <v>158</v>
      </c>
      <c r="D52" s="188"/>
      <c r="E52" s="188"/>
      <c r="F52" s="188"/>
      <c r="G52" s="187"/>
      <c r="H52" s="187"/>
      <c r="I52" s="187"/>
      <c r="J52" s="187"/>
      <c r="K52" s="187"/>
      <c r="L52" s="187"/>
      <c r="M52" s="187"/>
    </row>
    <row r="54" spans="2:13" x14ac:dyDescent="0.2">
      <c r="B54" s="187" t="s">
        <v>166</v>
      </c>
      <c r="C54" s="187"/>
    </row>
    <row r="57" spans="2:13" x14ac:dyDescent="0.2">
      <c r="B57" s="789" t="s">
        <v>257</v>
      </c>
      <c r="C57" s="789"/>
    </row>
  </sheetData>
  <sheetProtection sheet="1" objects="1" scenarios="1"/>
  <mergeCells count="13">
    <mergeCell ref="B57:C57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zoomScale="80" zoomScaleNormal="80" workbookViewId="0">
      <selection activeCell="G26" sqref="G26"/>
    </sheetView>
  </sheetViews>
  <sheetFormatPr baseColWidth="10" defaultColWidth="11.42578125" defaultRowHeight="12.75" x14ac:dyDescent="0.2"/>
  <cols>
    <col min="1" max="1" width="37.140625" style="3" customWidth="1"/>
    <col min="2" max="2" width="21.42578125" style="3" customWidth="1"/>
    <col min="3" max="3" width="20.85546875" style="3" bestFit="1" customWidth="1"/>
    <col min="4" max="4" width="19.28515625" style="3" customWidth="1"/>
    <col min="5" max="6" width="18.85546875" style="3" customWidth="1"/>
    <col min="7" max="7" width="18" style="3" customWidth="1"/>
    <col min="8" max="8" width="21.140625" style="3" customWidth="1"/>
    <col min="9" max="9" width="18.140625" style="3" bestFit="1" customWidth="1"/>
    <col min="10" max="10" width="18.7109375" style="3" bestFit="1" customWidth="1"/>
    <col min="11" max="11" width="18.7109375" style="3" customWidth="1"/>
    <col min="12" max="12" width="16.42578125" style="3" bestFit="1" customWidth="1"/>
    <col min="13" max="13" width="17.5703125" style="3" customWidth="1"/>
    <col min="14" max="14" width="17.28515625" style="3" customWidth="1"/>
    <col min="15" max="15" width="16.85546875" style="3" customWidth="1"/>
    <col min="16" max="16" width="14.85546875" style="3" customWidth="1"/>
    <col min="17" max="17" width="16.42578125" style="3" bestFit="1" customWidth="1"/>
    <col min="18" max="18" width="15.85546875" style="3" customWidth="1"/>
    <col min="19" max="16384" width="11.42578125" style="3"/>
  </cols>
  <sheetData>
    <row r="1" spans="1:247" s="5" customFormat="1" x14ac:dyDescent="0.2">
      <c r="A1" s="4"/>
      <c r="C1" s="6"/>
      <c r="D1" s="6"/>
      <c r="E1" s="34" t="s">
        <v>198</v>
      </c>
      <c r="F1" s="34"/>
      <c r="G1" s="6"/>
      <c r="H1" s="6"/>
      <c r="IL1" s="3"/>
      <c r="IM1" s="3"/>
    </row>
    <row r="2" spans="1:247" s="5" customFormat="1" x14ac:dyDescent="0.2">
      <c r="A2" s="7"/>
      <c r="C2" s="6"/>
      <c r="D2" s="6"/>
      <c r="E2" s="34" t="s">
        <v>191</v>
      </c>
      <c r="F2" s="34"/>
      <c r="G2" s="6"/>
      <c r="H2" s="6"/>
      <c r="L2" s="6"/>
      <c r="M2" s="6"/>
      <c r="IL2" s="3"/>
      <c r="IM2" s="3"/>
    </row>
    <row r="3" spans="1:247" s="5" customFormat="1" x14ac:dyDescent="0.2">
      <c r="A3" s="3"/>
      <c r="IL3" s="3"/>
      <c r="IM3" s="3"/>
    </row>
    <row r="4" spans="1:247" s="5" customFormat="1" ht="18.75" customHeight="1" x14ac:dyDescent="0.2">
      <c r="A4" s="20"/>
      <c r="B4" s="21"/>
      <c r="C4" s="807" t="s">
        <v>0</v>
      </c>
      <c r="D4" s="807"/>
      <c r="E4" s="808" t="s">
        <v>140</v>
      </c>
      <c r="F4" s="809"/>
      <c r="G4" s="810"/>
      <c r="L4" s="2"/>
      <c r="IC4" s="3"/>
      <c r="ID4" s="3"/>
      <c r="IE4" s="3"/>
      <c r="IF4" s="3"/>
      <c r="IG4" s="3"/>
      <c r="IH4" s="3"/>
    </row>
    <row r="5" spans="1:247" s="5" customFormat="1" x14ac:dyDescent="0.2">
      <c r="A5" s="3"/>
      <c r="B5" s="3"/>
      <c r="C5" s="3"/>
      <c r="D5" s="3"/>
      <c r="E5" s="3"/>
      <c r="F5" s="3"/>
      <c r="G5" s="8"/>
      <c r="H5" s="684"/>
      <c r="I5" s="6"/>
      <c r="J5" s="6"/>
      <c r="K5" s="6"/>
      <c r="L5" s="2"/>
      <c r="IC5" s="3"/>
      <c r="ID5" s="3"/>
      <c r="IE5" s="3"/>
      <c r="IF5" s="3"/>
      <c r="IG5" s="3"/>
      <c r="IH5" s="3"/>
    </row>
    <row r="6" spans="1:247" s="5" customFormat="1" ht="15.75" x14ac:dyDescent="0.2">
      <c r="A6" s="827" t="s">
        <v>144</v>
      </c>
      <c r="B6" s="827"/>
      <c r="C6" s="827"/>
      <c r="D6" s="827"/>
      <c r="E6" s="3"/>
      <c r="F6" s="3"/>
      <c r="G6" s="8"/>
      <c r="H6" s="684"/>
      <c r="I6" s="6"/>
      <c r="J6" s="6"/>
      <c r="K6" s="6"/>
      <c r="L6" s="2"/>
      <c r="IC6" s="3"/>
      <c r="ID6" s="3"/>
      <c r="IE6" s="3"/>
      <c r="IF6" s="3"/>
      <c r="IG6" s="3"/>
      <c r="IH6" s="3"/>
    </row>
    <row r="7" spans="1:247" ht="13.5" thickBot="1" x14ac:dyDescent="0.25">
      <c r="B7" s="37"/>
      <c r="C7" s="37"/>
      <c r="E7" s="37"/>
      <c r="F7" s="37"/>
      <c r="G7" s="37"/>
      <c r="H7" s="37"/>
      <c r="I7" s="37"/>
      <c r="M7" s="38"/>
    </row>
    <row r="8" spans="1:247" ht="39" customHeight="1" x14ac:dyDescent="0.2">
      <c r="A8" s="230" t="s">
        <v>113</v>
      </c>
      <c r="B8" s="231" t="str">
        <f>+N19</f>
        <v>Ingreso por Matrícula</v>
      </c>
      <c r="C8" s="232" t="str">
        <f>+O19</f>
        <v>Ingreso por Mensualidad</v>
      </c>
      <c r="D8" s="232" t="s">
        <v>126</v>
      </c>
      <c r="E8" s="233" t="s">
        <v>82</v>
      </c>
      <c r="F8" s="234" t="s">
        <v>79</v>
      </c>
      <c r="G8" s="235" t="s">
        <v>80</v>
      </c>
      <c r="H8" s="236" t="s">
        <v>107</v>
      </c>
      <c r="I8" s="237" t="s">
        <v>112</v>
      </c>
      <c r="L8" s="45" t="s">
        <v>111</v>
      </c>
      <c r="N8" s="70"/>
    </row>
    <row r="9" spans="1:247" x14ac:dyDescent="0.2">
      <c r="A9" s="238" t="str">
        <f>+'B) Reajuste Tarifas y Ocupación'!A12</f>
        <v>Jardín Infantil Olitas de Mar</v>
      </c>
      <c r="B9" s="239">
        <f>+N30</f>
        <v>5652400</v>
      </c>
      <c r="C9" s="240">
        <f>+O30</f>
        <v>56524000</v>
      </c>
      <c r="D9" s="239">
        <f>+P30</f>
        <v>1641600</v>
      </c>
      <c r="E9" s="241">
        <f>+B9+D9+C9</f>
        <v>63818000</v>
      </c>
      <c r="F9" s="242">
        <f>+'C) Costos Directos'!H75</f>
        <v>69400409.902400002</v>
      </c>
      <c r="G9" s="243">
        <f>+'D) Costos Indirectos'!$AP$15*(F9/$F$12)</f>
        <v>15007455.132142758</v>
      </c>
      <c r="H9" s="244">
        <f>+F9+G9</f>
        <v>84407865.034542754</v>
      </c>
      <c r="I9" s="245">
        <f>E9-H9</f>
        <v>-20589865.034542754</v>
      </c>
      <c r="L9" s="63">
        <f>+IFERROR(G9/$G$12,0)</f>
        <v>0.66351428953534886</v>
      </c>
      <c r="N9" s="71"/>
    </row>
    <row r="10" spans="1:247" x14ac:dyDescent="0.2">
      <c r="A10" s="309" t="s">
        <v>225</v>
      </c>
      <c r="B10" s="239">
        <f>+N33+'A) Resumen Ingresos y Egresos'!N39</f>
        <v>0</v>
      </c>
      <c r="C10" s="240">
        <f>O33+O39</f>
        <v>39324000</v>
      </c>
      <c r="D10" s="413"/>
      <c r="E10" s="241">
        <f>+B10+D10+C10</f>
        <v>39324000</v>
      </c>
      <c r="F10" s="242">
        <f>'C) Costos Directos'!H139</f>
        <v>35194790.226598397</v>
      </c>
      <c r="G10" s="243">
        <f>+'D) Costos Indirectos'!$AP$15*(F10/$F$12)</f>
        <v>7610678.8987796204</v>
      </c>
      <c r="H10" s="244">
        <f t="shared" ref="H10:H11" si="0">+F10+G10</f>
        <v>42805469.12537802</v>
      </c>
      <c r="I10" s="245">
        <f t="shared" ref="I10:I11" si="1">E10-H10</f>
        <v>-3481469.1253780201</v>
      </c>
      <c r="L10" s="63">
        <f>+IFERROR(G10/$G$12,0)</f>
        <v>0.33648571046465114</v>
      </c>
      <c r="N10" s="71"/>
    </row>
    <row r="11" spans="1:247" x14ac:dyDescent="0.2">
      <c r="A11" s="309" t="s">
        <v>226</v>
      </c>
      <c r="B11" s="239">
        <f>N36</f>
        <v>0</v>
      </c>
      <c r="C11" s="240">
        <f>O36</f>
        <v>0</v>
      </c>
      <c r="D11" s="413"/>
      <c r="E11" s="241">
        <f>+B11+D11+C11</f>
        <v>0</v>
      </c>
      <c r="F11" s="242">
        <f>+'C) Costos Directos'!H141</f>
        <v>0</v>
      </c>
      <c r="G11" s="243">
        <f>+'D) Costos Indirectos'!$AP$15*(F11/$F$12)</f>
        <v>0</v>
      </c>
      <c r="H11" s="244">
        <f t="shared" si="0"/>
        <v>0</v>
      </c>
      <c r="I11" s="245">
        <f t="shared" si="1"/>
        <v>0</v>
      </c>
      <c r="L11" s="63">
        <f>+IFERROR(G11/$G$12,0)</f>
        <v>0</v>
      </c>
      <c r="N11" s="71"/>
    </row>
    <row r="12" spans="1:247" s="5" customFormat="1" ht="15.75" thickBot="1" x14ac:dyDescent="0.25">
      <c r="A12" s="246" t="s">
        <v>1</v>
      </c>
      <c r="B12" s="247">
        <f>SUM(B9:B11)</f>
        <v>5652400</v>
      </c>
      <c r="C12" s="247">
        <f t="shared" ref="C12:I12" si="2">SUM(C9:C11)</f>
        <v>95848000</v>
      </c>
      <c r="D12" s="247">
        <f t="shared" si="2"/>
        <v>1641600</v>
      </c>
      <c r="E12" s="247">
        <f t="shared" si="2"/>
        <v>103142000</v>
      </c>
      <c r="F12" s="247">
        <f t="shared" si="2"/>
        <v>104595200.1289984</v>
      </c>
      <c r="G12" s="247">
        <f t="shared" si="2"/>
        <v>22618134.030922379</v>
      </c>
      <c r="H12" s="247">
        <f t="shared" si="2"/>
        <v>127213334.15992078</v>
      </c>
      <c r="I12" s="247">
        <f t="shared" si="2"/>
        <v>-24071334.159920774</v>
      </c>
      <c r="L12" s="64">
        <f>SUM(L9:L11)</f>
        <v>1</v>
      </c>
      <c r="N12" s="38"/>
      <c r="O12" s="202"/>
      <c r="IB12" s="3"/>
      <c r="IC12" s="3"/>
      <c r="ID12" s="3"/>
      <c r="IE12" s="3"/>
      <c r="IF12" s="3"/>
      <c r="IG12" s="3"/>
      <c r="IH12" s="3"/>
    </row>
    <row r="13" spans="1:247" s="5" customFormat="1" ht="15.75" customHeight="1" x14ac:dyDescent="0.2">
      <c r="A13" s="10"/>
      <c r="B13" s="10"/>
      <c r="C13" s="11"/>
      <c r="D13" s="11"/>
      <c r="E13" s="11"/>
      <c r="F13" s="11"/>
      <c r="G13" s="11"/>
      <c r="H13" s="681"/>
      <c r="I13" s="681"/>
      <c r="J13" s="11"/>
      <c r="K13" s="11"/>
      <c r="L13" s="11"/>
      <c r="M13" s="11"/>
      <c r="N13" s="11"/>
      <c r="IB13" s="3"/>
      <c r="IC13" s="3"/>
      <c r="ID13" s="3"/>
      <c r="IE13" s="3"/>
      <c r="IF13" s="3"/>
      <c r="IG13" s="3"/>
      <c r="IH13" s="3"/>
    </row>
    <row r="14" spans="1:247" s="5" customFormat="1" ht="15.75" customHeight="1" x14ac:dyDescent="0.2">
      <c r="A14" s="10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03"/>
      <c r="IB14" s="3"/>
      <c r="IC14" s="3"/>
      <c r="ID14" s="3"/>
      <c r="IE14" s="3"/>
      <c r="IF14" s="3"/>
      <c r="IG14" s="3"/>
      <c r="IH14" s="3"/>
    </row>
    <row r="15" spans="1:247" s="5" customFormat="1" ht="15.75" customHeight="1" x14ac:dyDescent="0.2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IB15" s="3"/>
      <c r="IC15" s="3"/>
      <c r="ID15" s="3"/>
      <c r="IE15" s="3"/>
      <c r="IF15" s="3"/>
      <c r="IG15" s="3"/>
      <c r="IH15" s="3"/>
    </row>
    <row r="16" spans="1:247" s="5" customFormat="1" ht="15.75" customHeight="1" x14ac:dyDescent="0.2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IB16" s="3"/>
      <c r="IC16" s="3"/>
      <c r="ID16" s="3"/>
      <c r="IE16" s="3"/>
      <c r="IF16" s="3"/>
      <c r="IG16" s="3"/>
      <c r="IH16" s="3"/>
    </row>
    <row r="17" spans="1:247" s="5" customFormat="1" ht="15.75" customHeight="1" x14ac:dyDescent="0.2">
      <c r="A17" s="827" t="s">
        <v>145</v>
      </c>
      <c r="B17" s="827"/>
      <c r="C17" s="827"/>
      <c r="D17" s="827"/>
      <c r="E17" s="11"/>
      <c r="F17" s="11"/>
      <c r="G17" s="11"/>
      <c r="H17" s="11"/>
      <c r="I17" s="11"/>
      <c r="J17" s="11"/>
      <c r="K17" s="11"/>
      <c r="L17" s="11"/>
      <c r="M17" s="11"/>
      <c r="N17" s="11"/>
      <c r="IB17" s="3"/>
      <c r="IC17" s="3"/>
      <c r="ID17" s="3"/>
      <c r="IE17" s="3"/>
      <c r="IF17" s="3"/>
      <c r="IG17" s="3"/>
      <c r="IH17" s="3"/>
    </row>
    <row r="18" spans="1:247" s="13" customFormat="1" ht="13.5" thickBot="1" x14ac:dyDescent="0.25">
      <c r="B18" s="37"/>
      <c r="C18" s="37"/>
      <c r="D18" s="37"/>
      <c r="E18" s="37"/>
      <c r="F18" s="37"/>
      <c r="G18" s="37"/>
      <c r="H18" s="37"/>
      <c r="I18" s="12"/>
      <c r="J18" s="12"/>
      <c r="K18" s="12"/>
      <c r="L18" s="2"/>
      <c r="M18" s="2"/>
      <c r="O18" s="14"/>
      <c r="P18" s="14"/>
      <c r="IL18" s="319"/>
      <c r="IM18" s="319"/>
    </row>
    <row r="19" spans="1:247" s="320" customFormat="1" ht="15.75" customHeight="1" x14ac:dyDescent="0.2">
      <c r="A19" s="828" t="s">
        <v>113</v>
      </c>
      <c r="B19" s="830" t="s">
        <v>5</v>
      </c>
      <c r="C19" s="811" t="s">
        <v>2</v>
      </c>
      <c r="D19" s="813" t="s">
        <v>231</v>
      </c>
      <c r="E19" s="814"/>
      <c r="F19" s="814"/>
      <c r="G19" s="814"/>
      <c r="H19" s="815"/>
      <c r="I19" s="816" t="s">
        <v>232</v>
      </c>
      <c r="J19" s="817"/>
      <c r="K19" s="817"/>
      <c r="L19" s="817"/>
      <c r="M19" s="818"/>
      <c r="N19" s="821" t="s">
        <v>89</v>
      </c>
      <c r="O19" s="823" t="s">
        <v>90</v>
      </c>
      <c r="P19" s="819" t="s">
        <v>126</v>
      </c>
      <c r="Q19" s="825" t="s">
        <v>106</v>
      </c>
    </row>
    <row r="20" spans="1:247" s="320" customFormat="1" ht="39" thickBot="1" x14ac:dyDescent="0.25">
      <c r="A20" s="829"/>
      <c r="B20" s="831"/>
      <c r="C20" s="812"/>
      <c r="D20" s="208" t="s">
        <v>86</v>
      </c>
      <c r="E20" s="207" t="s">
        <v>134</v>
      </c>
      <c r="F20" s="207" t="s">
        <v>135</v>
      </c>
      <c r="G20" s="207" t="s">
        <v>87</v>
      </c>
      <c r="H20" s="209" t="s">
        <v>88</v>
      </c>
      <c r="I20" s="208" t="s">
        <v>86</v>
      </c>
      <c r="J20" s="207" t="s">
        <v>134</v>
      </c>
      <c r="K20" s="207" t="s">
        <v>135</v>
      </c>
      <c r="L20" s="207" t="s">
        <v>87</v>
      </c>
      <c r="M20" s="209" t="s">
        <v>88</v>
      </c>
      <c r="N20" s="822"/>
      <c r="O20" s="824"/>
      <c r="P20" s="820"/>
      <c r="Q20" s="826"/>
    </row>
    <row r="21" spans="1:247" ht="12.75" customHeight="1" x14ac:dyDescent="0.2">
      <c r="A21" s="799" t="str">
        <f>+'B) Reajuste Tarifas y Ocupación'!A12</f>
        <v>Jardín Infantil Olitas de Mar</v>
      </c>
      <c r="B21" s="792" t="str">
        <f>+'B) Reajuste Tarifas y Ocupación'!B12</f>
        <v>Media jornada</v>
      </c>
      <c r="C21" s="422" t="s">
        <v>233</v>
      </c>
      <c r="D21" s="217">
        <f t="shared" ref="D21:F22" si="3">+I21</f>
        <v>52300</v>
      </c>
      <c r="E21" s="212">
        <f t="shared" si="3"/>
        <v>62700</v>
      </c>
      <c r="F21" s="212">
        <f t="shared" si="3"/>
        <v>62700</v>
      </c>
      <c r="G21" s="212">
        <f t="shared" ref="G21:H22" si="4">+L21</f>
        <v>79100</v>
      </c>
      <c r="H21" s="218">
        <f t="shared" si="4"/>
        <v>127000</v>
      </c>
      <c r="I21" s="217">
        <f>+'B) Reajuste Tarifas y Ocupación'!M12</f>
        <v>52300</v>
      </c>
      <c r="J21" s="212">
        <f>+'B) Reajuste Tarifas y Ocupación'!N12</f>
        <v>62700</v>
      </c>
      <c r="K21" s="212">
        <f>+'B) Reajuste Tarifas y Ocupación'!O12</f>
        <v>62700</v>
      </c>
      <c r="L21" s="212">
        <f>+'B) Reajuste Tarifas y Ocupación'!P12</f>
        <v>79100</v>
      </c>
      <c r="M21" s="218">
        <f>+'B) Reajuste Tarifas y Ocupación'!Q12</f>
        <v>127000</v>
      </c>
      <c r="N21" s="223"/>
      <c r="O21" s="213"/>
      <c r="P21" s="226">
        <f>+'B) Reajuste Tarifas y Ocupación'!C12</f>
        <v>49400</v>
      </c>
      <c r="Q21" s="790"/>
    </row>
    <row r="22" spans="1:247" x14ac:dyDescent="0.2">
      <c r="A22" s="800"/>
      <c r="B22" s="793"/>
      <c r="C22" s="206" t="s">
        <v>7</v>
      </c>
      <c r="D22" s="219">
        <f t="shared" si="3"/>
        <v>0</v>
      </c>
      <c r="E22" s="211">
        <f t="shared" si="3"/>
        <v>0</v>
      </c>
      <c r="F22" s="211">
        <f t="shared" si="3"/>
        <v>0</v>
      </c>
      <c r="G22" s="211">
        <f t="shared" si="4"/>
        <v>0</v>
      </c>
      <c r="H22" s="220">
        <f t="shared" si="4"/>
        <v>0</v>
      </c>
      <c r="I22" s="219">
        <f>+'B) Reajuste Tarifas y Ocupación'!C23</f>
        <v>0</v>
      </c>
      <c r="J22" s="211">
        <f>+'B) Reajuste Tarifas y Ocupación'!D23</f>
        <v>0</v>
      </c>
      <c r="K22" s="211">
        <f>+'B) Reajuste Tarifas y Ocupación'!E23</f>
        <v>0</v>
      </c>
      <c r="L22" s="211">
        <f>+'B) Reajuste Tarifas y Ocupación'!F23</f>
        <v>0</v>
      </c>
      <c r="M22" s="220">
        <f>+'B) Reajuste Tarifas y Ocupación'!G23</f>
        <v>0</v>
      </c>
      <c r="N22" s="224"/>
      <c r="O22" s="210"/>
      <c r="P22" s="227">
        <v>0</v>
      </c>
      <c r="Q22" s="791"/>
    </row>
    <row r="23" spans="1:247" ht="13.5" thickBot="1" x14ac:dyDescent="0.25">
      <c r="A23" s="800"/>
      <c r="B23" s="794"/>
      <c r="C23" s="214" t="s">
        <v>9</v>
      </c>
      <c r="D23" s="221">
        <f>D22*D21</f>
        <v>0</v>
      </c>
      <c r="E23" s="215">
        <f>E22*E21</f>
        <v>0</v>
      </c>
      <c r="F23" s="215">
        <f t="shared" ref="F23" si="5">F22*F21</f>
        <v>0</v>
      </c>
      <c r="G23" s="215">
        <f t="shared" ref="G23:H23" si="6">G22*G21</f>
        <v>0</v>
      </c>
      <c r="H23" s="222">
        <f t="shared" si="6"/>
        <v>0</v>
      </c>
      <c r="I23" s="289">
        <f>I22*I21*10</f>
        <v>0</v>
      </c>
      <c r="J23" s="290">
        <f t="shared" ref="J23:M23" si="7">J22*J21*10</f>
        <v>0</v>
      </c>
      <c r="K23" s="290">
        <f t="shared" ref="K23" si="8">K22*K21*10</f>
        <v>0</v>
      </c>
      <c r="L23" s="290">
        <f t="shared" si="7"/>
        <v>0</v>
      </c>
      <c r="M23" s="291">
        <f t="shared" si="7"/>
        <v>0</v>
      </c>
      <c r="N23" s="225">
        <f>SUM(D23:H23)</f>
        <v>0</v>
      </c>
      <c r="O23" s="216">
        <f>SUM(I23:M23)</f>
        <v>0</v>
      </c>
      <c r="P23" s="228">
        <f>P22*P21</f>
        <v>0</v>
      </c>
      <c r="Q23" s="229">
        <f>N23+O23+P23</f>
        <v>0</v>
      </c>
    </row>
    <row r="24" spans="1:247" x14ac:dyDescent="0.2">
      <c r="A24" s="800"/>
      <c r="B24" s="795" t="s">
        <v>205</v>
      </c>
      <c r="C24" s="422" t="s">
        <v>233</v>
      </c>
      <c r="D24" s="217">
        <f t="shared" ref="D24:D25" si="9">+I24</f>
        <v>59700</v>
      </c>
      <c r="E24" s="212">
        <f t="shared" ref="E24:E25" si="10">+J24</f>
        <v>71600</v>
      </c>
      <c r="F24" s="212">
        <f t="shared" ref="F24:F25" si="11">+K24</f>
        <v>71600</v>
      </c>
      <c r="G24" s="212">
        <f t="shared" ref="G24:G25" si="12">+L24</f>
        <v>113100</v>
      </c>
      <c r="H24" s="288">
        <f t="shared" ref="H24:H25" si="13">+M24</f>
        <v>168500</v>
      </c>
      <c r="I24" s="217">
        <f>+'B) Reajuste Tarifas y Ocupación'!M13</f>
        <v>59700</v>
      </c>
      <c r="J24" s="212">
        <f>+'B) Reajuste Tarifas y Ocupación'!N13</f>
        <v>71600</v>
      </c>
      <c r="K24" s="212">
        <f>+'B) Reajuste Tarifas y Ocupación'!O13</f>
        <v>71600</v>
      </c>
      <c r="L24" s="212">
        <f>+'B) Reajuste Tarifas y Ocupación'!P13</f>
        <v>113100</v>
      </c>
      <c r="M24" s="218">
        <f>+'B) Reajuste Tarifas y Ocupación'!Q13</f>
        <v>168500</v>
      </c>
      <c r="N24" s="223"/>
      <c r="O24" s="213"/>
      <c r="P24" s="226">
        <f>+'B) Reajuste Tarifas y Ocupación'!C13</f>
        <v>56400</v>
      </c>
      <c r="Q24" s="790"/>
    </row>
    <row r="25" spans="1:247" x14ac:dyDescent="0.2">
      <c r="A25" s="800"/>
      <c r="B25" s="796"/>
      <c r="C25" s="206" t="s">
        <v>7</v>
      </c>
      <c r="D25" s="219">
        <f t="shared" si="9"/>
        <v>5</v>
      </c>
      <c r="E25" s="211">
        <f t="shared" si="10"/>
        <v>0</v>
      </c>
      <c r="F25" s="211">
        <f t="shared" si="11"/>
        <v>0</v>
      </c>
      <c r="G25" s="211">
        <f t="shared" si="12"/>
        <v>0</v>
      </c>
      <c r="H25" s="292">
        <f t="shared" si="13"/>
        <v>0</v>
      </c>
      <c r="I25" s="219">
        <f>+'B) Reajuste Tarifas y Ocupación'!C24</f>
        <v>5</v>
      </c>
      <c r="J25" s="211">
        <f>+'B) Reajuste Tarifas y Ocupación'!D24</f>
        <v>0</v>
      </c>
      <c r="K25" s="211">
        <f>+'B) Reajuste Tarifas y Ocupación'!E24</f>
        <v>0</v>
      </c>
      <c r="L25" s="211">
        <f>+'B) Reajuste Tarifas y Ocupación'!F24</f>
        <v>0</v>
      </c>
      <c r="M25" s="220">
        <f>+'B) Reajuste Tarifas y Ocupación'!G24</f>
        <v>0</v>
      </c>
      <c r="N25" s="224"/>
      <c r="O25" s="210"/>
      <c r="P25" s="227">
        <v>4</v>
      </c>
      <c r="Q25" s="791"/>
    </row>
    <row r="26" spans="1:247" ht="13.5" thickBot="1" x14ac:dyDescent="0.25">
      <c r="A26" s="800"/>
      <c r="B26" s="797"/>
      <c r="C26" s="214" t="s">
        <v>9</v>
      </c>
      <c r="D26" s="221">
        <f>D25*D24</f>
        <v>298500</v>
      </c>
      <c r="E26" s="215">
        <f>E25*E24</f>
        <v>0</v>
      </c>
      <c r="F26" s="215">
        <f t="shared" ref="F26:H26" si="14">F25*F24</f>
        <v>0</v>
      </c>
      <c r="G26" s="215">
        <f t="shared" si="14"/>
        <v>0</v>
      </c>
      <c r="H26" s="228">
        <f t="shared" si="14"/>
        <v>0</v>
      </c>
      <c r="I26" s="221">
        <f>I25*I24*10</f>
        <v>2985000</v>
      </c>
      <c r="J26" s="215">
        <f t="shared" ref="J26:M26" si="15">J25*J24*10</f>
        <v>0</v>
      </c>
      <c r="K26" s="215">
        <f t="shared" si="15"/>
        <v>0</v>
      </c>
      <c r="L26" s="215">
        <f t="shared" si="15"/>
        <v>0</v>
      </c>
      <c r="M26" s="222">
        <f t="shared" si="15"/>
        <v>0</v>
      </c>
      <c r="N26" s="225">
        <f>SUM(D26:H26)</f>
        <v>298500</v>
      </c>
      <c r="O26" s="216">
        <f>SUM(I26:M26)</f>
        <v>2985000</v>
      </c>
      <c r="P26" s="228">
        <f>P25*P24</f>
        <v>225600</v>
      </c>
      <c r="Q26" s="229">
        <f>N26+O26+P26</f>
        <v>3509100</v>
      </c>
    </row>
    <row r="27" spans="1:247" x14ac:dyDescent="0.2">
      <c r="A27" s="800"/>
      <c r="B27" s="792" t="str">
        <f>+'B) Reajuste Tarifas y Ocupación'!B14</f>
        <v>Jornada Completa</v>
      </c>
      <c r="C27" s="422" t="s">
        <v>233</v>
      </c>
      <c r="D27" s="217">
        <f t="shared" ref="D27:F28" si="16">+I27</f>
        <v>93600</v>
      </c>
      <c r="E27" s="212">
        <f t="shared" si="16"/>
        <v>112300</v>
      </c>
      <c r="F27" s="212">
        <f t="shared" si="16"/>
        <v>112300</v>
      </c>
      <c r="G27" s="212">
        <f t="shared" ref="G27:H28" si="17">+L27</f>
        <v>144900</v>
      </c>
      <c r="H27" s="218">
        <f t="shared" si="17"/>
        <v>232900</v>
      </c>
      <c r="I27" s="293">
        <f>+'B) Reajuste Tarifas y Ocupación'!M14</f>
        <v>93600</v>
      </c>
      <c r="J27" s="294">
        <f>+'B) Reajuste Tarifas y Ocupación'!N14</f>
        <v>112300</v>
      </c>
      <c r="K27" s="294">
        <f>+'B) Reajuste Tarifas y Ocupación'!O14</f>
        <v>112300</v>
      </c>
      <c r="L27" s="294">
        <f>+'B) Reajuste Tarifas y Ocupación'!P14</f>
        <v>144900</v>
      </c>
      <c r="M27" s="295">
        <f>+'B) Reajuste Tarifas y Ocupación'!Q14</f>
        <v>232900</v>
      </c>
      <c r="N27" s="223"/>
      <c r="O27" s="213"/>
      <c r="P27" s="226">
        <f>+'B) Reajuste Tarifas y Ocupación'!C14</f>
        <v>88500</v>
      </c>
      <c r="Q27" s="790"/>
    </row>
    <row r="28" spans="1:247" x14ac:dyDescent="0.2">
      <c r="A28" s="800"/>
      <c r="B28" s="793"/>
      <c r="C28" s="206" t="s">
        <v>7</v>
      </c>
      <c r="D28" s="219">
        <f t="shared" si="16"/>
        <v>56</v>
      </c>
      <c r="E28" s="211">
        <f t="shared" si="16"/>
        <v>1</v>
      </c>
      <c r="F28" s="211">
        <f t="shared" si="16"/>
        <v>0</v>
      </c>
      <c r="G28" s="211">
        <f t="shared" si="17"/>
        <v>0</v>
      </c>
      <c r="H28" s="220">
        <f t="shared" si="17"/>
        <v>0</v>
      </c>
      <c r="I28" s="219">
        <f>+'B) Reajuste Tarifas y Ocupación'!C25</f>
        <v>56</v>
      </c>
      <c r="J28" s="211">
        <f>+'B) Reajuste Tarifas y Ocupación'!D25</f>
        <v>1</v>
      </c>
      <c r="K28" s="211">
        <f>+'B) Reajuste Tarifas y Ocupación'!E25</f>
        <v>0</v>
      </c>
      <c r="L28" s="211">
        <f>+'B) Reajuste Tarifas y Ocupación'!F25</f>
        <v>0</v>
      </c>
      <c r="M28" s="220">
        <f>+'B) Reajuste Tarifas y Ocupación'!G25</f>
        <v>0</v>
      </c>
      <c r="N28" s="224"/>
      <c r="O28" s="210"/>
      <c r="P28" s="227">
        <v>16</v>
      </c>
      <c r="Q28" s="791"/>
    </row>
    <row r="29" spans="1:247" ht="13.5" thickBot="1" x14ac:dyDescent="0.25">
      <c r="A29" s="800"/>
      <c r="B29" s="794"/>
      <c r="C29" s="214" t="s">
        <v>9</v>
      </c>
      <c r="D29" s="221">
        <f>D28*D27</f>
        <v>5241600</v>
      </c>
      <c r="E29" s="215">
        <f t="shared" ref="E29:H29" si="18">E28*E27</f>
        <v>112300</v>
      </c>
      <c r="F29" s="215">
        <f t="shared" ref="F29" si="19">F28*F27</f>
        <v>0</v>
      </c>
      <c r="G29" s="215">
        <f t="shared" si="18"/>
        <v>0</v>
      </c>
      <c r="H29" s="222">
        <f t="shared" si="18"/>
        <v>0</v>
      </c>
      <c r="I29" s="221">
        <f t="shared" ref="I29:M29" si="20">I28*I27*10</f>
        <v>52416000</v>
      </c>
      <c r="J29" s="215">
        <f t="shared" si="20"/>
        <v>1123000</v>
      </c>
      <c r="K29" s="215">
        <f t="shared" ref="K29" si="21">K28*K27*10</f>
        <v>0</v>
      </c>
      <c r="L29" s="215">
        <f t="shared" si="20"/>
        <v>0</v>
      </c>
      <c r="M29" s="222">
        <f t="shared" si="20"/>
        <v>0</v>
      </c>
      <c r="N29" s="248">
        <f>SUM(D29:H29)</f>
        <v>5353900</v>
      </c>
      <c r="O29" s="249">
        <f>SUM(I29:M29)</f>
        <v>53539000</v>
      </c>
      <c r="P29" s="250">
        <f>P28*P27</f>
        <v>1416000</v>
      </c>
      <c r="Q29" s="251">
        <f>N29+O29+P29</f>
        <v>60308900</v>
      </c>
    </row>
    <row r="30" spans="1:247" s="319" customFormat="1" ht="15.75" thickBot="1" x14ac:dyDescent="0.25">
      <c r="A30" s="801"/>
      <c r="B30" s="798" t="s">
        <v>10</v>
      </c>
      <c r="C30" s="798"/>
      <c r="D30" s="296">
        <f>+D23+D26+D29</f>
        <v>5540100</v>
      </c>
      <c r="E30" s="296">
        <f t="shared" ref="E30:M30" si="22">+E23+E26+E29</f>
        <v>112300</v>
      </c>
      <c r="F30" s="296">
        <f t="shared" si="22"/>
        <v>0</v>
      </c>
      <c r="G30" s="296">
        <f t="shared" si="22"/>
        <v>0</v>
      </c>
      <c r="H30" s="296">
        <f t="shared" si="22"/>
        <v>0</v>
      </c>
      <c r="I30" s="296">
        <f t="shared" si="22"/>
        <v>55401000</v>
      </c>
      <c r="J30" s="296">
        <f t="shared" si="22"/>
        <v>1123000</v>
      </c>
      <c r="K30" s="296">
        <f t="shared" si="22"/>
        <v>0</v>
      </c>
      <c r="L30" s="296">
        <f t="shared" si="22"/>
        <v>0</v>
      </c>
      <c r="M30" s="296">
        <f t="shared" si="22"/>
        <v>0</v>
      </c>
      <c r="N30" s="563">
        <f>+N23+N26+N29</f>
        <v>5652400</v>
      </c>
      <c r="O30" s="563">
        <f t="shared" ref="O30" si="23">+O23+O26+O29</f>
        <v>56524000</v>
      </c>
      <c r="P30" s="563">
        <f t="shared" ref="P30" si="24">+P23+P26+P29</f>
        <v>1641600</v>
      </c>
      <c r="Q30" s="564">
        <f t="shared" ref="Q30" si="25">+Q23+Q26+Q29</f>
        <v>63818000</v>
      </c>
    </row>
    <row r="31" spans="1:247" s="319" customFormat="1" ht="12.75" customHeight="1" x14ac:dyDescent="0.2">
      <c r="A31" s="804" t="str">
        <f>+'B) Reajuste Tarifas y Ocupación'!A15</f>
        <v>Sala Cuna Olitas de Mar</v>
      </c>
      <c r="B31" s="792" t="str">
        <f>+'B) Reajuste Tarifas y Ocupación'!B15</f>
        <v>Diurna</v>
      </c>
      <c r="C31" s="422" t="s">
        <v>233</v>
      </c>
      <c r="D31" s="694"/>
      <c r="E31" s="695">
        <f t="shared" ref="E31:H32" si="26">+J31</f>
        <v>393300</v>
      </c>
      <c r="F31" s="695">
        <f t="shared" si="26"/>
        <v>393300</v>
      </c>
      <c r="G31" s="695">
        <f t="shared" si="26"/>
        <v>409600</v>
      </c>
      <c r="H31" s="696">
        <f>+M31</f>
        <v>491600</v>
      </c>
      <c r="I31" s="697">
        <f>+'B) Reajuste Tarifas y Ocupación'!M15</f>
        <v>327700</v>
      </c>
      <c r="J31" s="695">
        <f>+'B) Reajuste Tarifas y Ocupación'!N15</f>
        <v>393300</v>
      </c>
      <c r="K31" s="695">
        <f>+'B) Reajuste Tarifas y Ocupación'!O15</f>
        <v>393300</v>
      </c>
      <c r="L31" s="695">
        <f>+'B) Reajuste Tarifas y Ocupación'!P15</f>
        <v>409600</v>
      </c>
      <c r="M31" s="698">
        <f>+'B) Reajuste Tarifas y Ocupación'!Q15</f>
        <v>491600</v>
      </c>
      <c r="N31" s="223"/>
      <c r="O31" s="213"/>
      <c r="P31" s="213"/>
      <c r="Q31" s="790"/>
    </row>
    <row r="32" spans="1:247" s="319" customFormat="1" ht="12.75" customHeight="1" x14ac:dyDescent="0.2">
      <c r="A32" s="805"/>
      <c r="B32" s="793"/>
      <c r="C32" s="206" t="s">
        <v>7</v>
      </c>
      <c r="D32" s="699"/>
      <c r="E32" s="700">
        <f t="shared" si="26"/>
        <v>0</v>
      </c>
      <c r="F32" s="700">
        <f t="shared" si="26"/>
        <v>0</v>
      </c>
      <c r="G32" s="700">
        <f t="shared" si="26"/>
        <v>0</v>
      </c>
      <c r="H32" s="701">
        <f t="shared" si="26"/>
        <v>0</v>
      </c>
      <c r="I32" s="702">
        <f>+'B) Reajuste Tarifas y Ocupación'!C26</f>
        <v>10</v>
      </c>
      <c r="J32" s="700">
        <f>+'B) Reajuste Tarifas y Ocupación'!D26</f>
        <v>0</v>
      </c>
      <c r="K32" s="700">
        <f>+'B) Reajuste Tarifas y Ocupación'!E26</f>
        <v>0</v>
      </c>
      <c r="L32" s="700">
        <f>+'B) Reajuste Tarifas y Ocupación'!F26</f>
        <v>0</v>
      </c>
      <c r="M32" s="703">
        <f>+'B) Reajuste Tarifas y Ocupación'!G26</f>
        <v>0</v>
      </c>
      <c r="N32" s="224"/>
      <c r="O32" s="210"/>
      <c r="P32" s="210"/>
      <c r="Q32" s="791"/>
    </row>
    <row r="33" spans="1:17" s="319" customFormat="1" ht="13.5" customHeight="1" thickBot="1" x14ac:dyDescent="0.25">
      <c r="A33" s="805"/>
      <c r="B33" s="794"/>
      <c r="C33" s="214" t="s">
        <v>9</v>
      </c>
      <c r="D33" s="221">
        <f>D32*D31</f>
        <v>0</v>
      </c>
      <c r="E33" s="215">
        <f>E32*E31</f>
        <v>0</v>
      </c>
      <c r="F33" s="215">
        <f t="shared" ref="F33:H33" si="27">F32*F31</f>
        <v>0</v>
      </c>
      <c r="G33" s="215">
        <f t="shared" si="27"/>
        <v>0</v>
      </c>
      <c r="H33" s="228">
        <f t="shared" si="27"/>
        <v>0</v>
      </c>
      <c r="I33" s="221">
        <f>I32*I31*12</f>
        <v>39324000</v>
      </c>
      <c r="J33" s="215">
        <f t="shared" ref="J33:M33" si="28">J32*J31*12</f>
        <v>0</v>
      </c>
      <c r="K33" s="215">
        <f t="shared" si="28"/>
        <v>0</v>
      </c>
      <c r="L33" s="215">
        <f t="shared" si="28"/>
        <v>0</v>
      </c>
      <c r="M33" s="222">
        <f t="shared" si="28"/>
        <v>0</v>
      </c>
      <c r="N33" s="225">
        <f>SUM(D33:H33)</f>
        <v>0</v>
      </c>
      <c r="O33" s="216">
        <f>SUM(I33:M33)</f>
        <v>39324000</v>
      </c>
      <c r="P33" s="228">
        <f>P32*P31</f>
        <v>0</v>
      </c>
      <c r="Q33" s="229">
        <f>N33+O33+P33</f>
        <v>39324000</v>
      </c>
    </row>
    <row r="34" spans="1:17" s="319" customFormat="1" ht="12.75" customHeight="1" x14ac:dyDescent="0.2">
      <c r="A34" s="805"/>
      <c r="B34" s="792" t="str">
        <f>+'B) Reajuste Tarifas y Ocupación'!B16</f>
        <v>Nocturna</v>
      </c>
      <c r="C34" s="422" t="s">
        <v>233</v>
      </c>
      <c r="D34" s="699"/>
      <c r="E34" s="704"/>
      <c r="F34" s="704"/>
      <c r="G34" s="704"/>
      <c r="H34" s="705"/>
      <c r="I34" s="706"/>
      <c r="J34" s="707"/>
      <c r="K34" s="707"/>
      <c r="L34" s="707"/>
      <c r="M34" s="708"/>
      <c r="N34" s="223"/>
      <c r="O34" s="213"/>
      <c r="P34" s="213"/>
      <c r="Q34" s="790"/>
    </row>
    <row r="35" spans="1:17" s="319" customFormat="1" ht="12.75" customHeight="1" x14ac:dyDescent="0.2">
      <c r="A35" s="805"/>
      <c r="B35" s="793"/>
      <c r="C35" s="206" t="s">
        <v>7</v>
      </c>
      <c r="D35" s="699"/>
      <c r="E35" s="709">
        <f t="shared" ref="E35:H35" si="29">+J35</f>
        <v>0</v>
      </c>
      <c r="F35" s="709">
        <f t="shared" si="29"/>
        <v>0</v>
      </c>
      <c r="G35" s="709">
        <f t="shared" si="29"/>
        <v>0</v>
      </c>
      <c r="H35" s="710">
        <f t="shared" si="29"/>
        <v>0</v>
      </c>
      <c r="I35" s="711">
        <f>+'[1]B) Reajuste Tarifas y Ocupación'!C27</f>
        <v>0</v>
      </c>
      <c r="J35" s="709">
        <f>+'[1]B) Reajuste Tarifas y Ocupación'!D27</f>
        <v>0</v>
      </c>
      <c r="K35" s="709">
        <f>+'[1]B) Reajuste Tarifas y Ocupación'!E27</f>
        <v>0</v>
      </c>
      <c r="L35" s="709">
        <f>+'[1]B) Reajuste Tarifas y Ocupación'!F27</f>
        <v>0</v>
      </c>
      <c r="M35" s="712">
        <f>+'[1]B) Reajuste Tarifas y Ocupación'!G27</f>
        <v>0</v>
      </c>
      <c r="N35" s="224"/>
      <c r="O35" s="210"/>
      <c r="P35" s="210"/>
      <c r="Q35" s="791"/>
    </row>
    <row r="36" spans="1:17" s="319" customFormat="1" ht="13.5" customHeight="1" thickBot="1" x14ac:dyDescent="0.25">
      <c r="A36" s="805"/>
      <c r="B36" s="794"/>
      <c r="C36" s="214" t="s">
        <v>9</v>
      </c>
      <c r="D36" s="221">
        <f>D35*D34</f>
        <v>0</v>
      </c>
      <c r="E36" s="215">
        <f>E35*E34</f>
        <v>0</v>
      </c>
      <c r="F36" s="215">
        <f t="shared" ref="F36:G36" si="30">F35*F34</f>
        <v>0</v>
      </c>
      <c r="G36" s="215">
        <f t="shared" si="30"/>
        <v>0</v>
      </c>
      <c r="H36" s="228">
        <f>H35*H34</f>
        <v>0</v>
      </c>
      <c r="I36" s="713">
        <f>I35*I34*12</f>
        <v>0</v>
      </c>
      <c r="J36" s="714">
        <f t="shared" ref="J36:M36" si="31">J35*J34*12</f>
        <v>0</v>
      </c>
      <c r="K36" s="714">
        <f t="shared" si="31"/>
        <v>0</v>
      </c>
      <c r="L36" s="714">
        <f t="shared" si="31"/>
        <v>0</v>
      </c>
      <c r="M36" s="715">
        <f t="shared" si="31"/>
        <v>0</v>
      </c>
      <c r="N36" s="225">
        <f>SUM(D36:H36)</f>
        <v>0</v>
      </c>
      <c r="O36" s="216">
        <f>SUM(I36:M36)</f>
        <v>0</v>
      </c>
      <c r="P36" s="228">
        <f>P35*P34</f>
        <v>0</v>
      </c>
      <c r="Q36" s="229">
        <f>N36+O36+P36</f>
        <v>0</v>
      </c>
    </row>
    <row r="37" spans="1:17" s="319" customFormat="1" ht="12.75" customHeight="1" x14ac:dyDescent="0.2">
      <c r="A37" s="805"/>
      <c r="B37" s="792" t="str">
        <f>+'B) Reajuste Tarifas y Ocupación'!B17</f>
        <v>Media Jornada</v>
      </c>
      <c r="C37" s="422" t="s">
        <v>233</v>
      </c>
      <c r="D37" s="699"/>
      <c r="E37" s="695">
        <f t="shared" ref="E37:H38" si="32">+J37</f>
        <v>283200</v>
      </c>
      <c r="F37" s="695">
        <f t="shared" si="32"/>
        <v>283200</v>
      </c>
      <c r="G37" s="695">
        <f t="shared" si="32"/>
        <v>295000</v>
      </c>
      <c r="H37" s="696">
        <f>+M37</f>
        <v>393300</v>
      </c>
      <c r="I37" s="697">
        <f>+'B) Reajuste Tarifas y Ocupación'!M17</f>
        <v>196700</v>
      </c>
      <c r="J37" s="695">
        <f>+'B) Reajuste Tarifas y Ocupación'!N17</f>
        <v>283200</v>
      </c>
      <c r="K37" s="695">
        <f>+'B) Reajuste Tarifas y Ocupación'!O17</f>
        <v>283200</v>
      </c>
      <c r="L37" s="695">
        <f>+'B) Reajuste Tarifas y Ocupación'!P17</f>
        <v>295000</v>
      </c>
      <c r="M37" s="698">
        <f>+'B) Reajuste Tarifas y Ocupación'!Q17</f>
        <v>393300</v>
      </c>
      <c r="N37" s="310"/>
      <c r="O37" s="311"/>
      <c r="P37" s="311"/>
      <c r="Q37" s="790"/>
    </row>
    <row r="38" spans="1:17" s="319" customFormat="1" ht="12.75" customHeight="1" x14ac:dyDescent="0.2">
      <c r="A38" s="805"/>
      <c r="B38" s="793"/>
      <c r="C38" s="206" t="s">
        <v>7</v>
      </c>
      <c r="D38" s="699"/>
      <c r="E38" s="700">
        <f t="shared" si="32"/>
        <v>0</v>
      </c>
      <c r="F38" s="700">
        <f t="shared" si="32"/>
        <v>0</v>
      </c>
      <c r="G38" s="700">
        <f t="shared" si="32"/>
        <v>0</v>
      </c>
      <c r="H38" s="701">
        <f t="shared" si="32"/>
        <v>0</v>
      </c>
      <c r="I38" s="702">
        <f>+'B) Reajuste Tarifas y Ocupación'!C28</f>
        <v>0</v>
      </c>
      <c r="J38" s="700">
        <f>+'B) Reajuste Tarifas y Ocupación'!D28</f>
        <v>0</v>
      </c>
      <c r="K38" s="700">
        <f>+'B) Reajuste Tarifas y Ocupación'!E28</f>
        <v>0</v>
      </c>
      <c r="L38" s="700">
        <f>+'B) Reajuste Tarifas y Ocupación'!F28</f>
        <v>0</v>
      </c>
      <c r="M38" s="703">
        <f>+'B) Reajuste Tarifas y Ocupación'!G28</f>
        <v>0</v>
      </c>
      <c r="N38" s="314"/>
      <c r="O38" s="313"/>
      <c r="P38" s="313"/>
      <c r="Q38" s="791"/>
    </row>
    <row r="39" spans="1:17" s="319" customFormat="1" ht="13.5" customHeight="1" thickBot="1" x14ac:dyDescent="0.25">
      <c r="A39" s="805"/>
      <c r="B39" s="794"/>
      <c r="C39" s="214" t="s">
        <v>9</v>
      </c>
      <c r="D39" s="221">
        <f>D38*D37</f>
        <v>0</v>
      </c>
      <c r="E39" s="215">
        <f>E38*E37</f>
        <v>0</v>
      </c>
      <c r="F39" s="215">
        <f t="shared" ref="F39:H39" si="33">F38*F37</f>
        <v>0</v>
      </c>
      <c r="G39" s="215">
        <f t="shared" si="33"/>
        <v>0</v>
      </c>
      <c r="H39" s="228">
        <f t="shared" si="33"/>
        <v>0</v>
      </c>
      <c r="I39" s="221">
        <f>I38*I37*12</f>
        <v>0</v>
      </c>
      <c r="J39" s="215">
        <f t="shared" ref="J39:M39" si="34">J38*J37*12</f>
        <v>0</v>
      </c>
      <c r="K39" s="215">
        <f t="shared" si="34"/>
        <v>0</v>
      </c>
      <c r="L39" s="215">
        <f t="shared" si="34"/>
        <v>0</v>
      </c>
      <c r="M39" s="222">
        <f t="shared" si="34"/>
        <v>0</v>
      </c>
      <c r="N39" s="225">
        <f>SUM(D39:H39)</f>
        <v>0</v>
      </c>
      <c r="O39" s="216">
        <f>SUM(I39:M39)</f>
        <v>0</v>
      </c>
      <c r="P39" s="215">
        <f>P38*P37</f>
        <v>0</v>
      </c>
      <c r="Q39" s="312">
        <f>N39+O39+P39</f>
        <v>0</v>
      </c>
    </row>
    <row r="40" spans="1:17" s="319" customFormat="1" ht="15.75" customHeight="1" thickBot="1" x14ac:dyDescent="0.25">
      <c r="A40" s="806"/>
      <c r="B40" s="798" t="s">
        <v>10</v>
      </c>
      <c r="C40" s="798"/>
      <c r="D40" s="296">
        <f>+D33+D39+D36</f>
        <v>0</v>
      </c>
      <c r="E40" s="296">
        <f t="shared" ref="E40:P40" si="35">+E33+E39+E36</f>
        <v>0</v>
      </c>
      <c r="F40" s="296">
        <f>+F33+F39+F36</f>
        <v>0</v>
      </c>
      <c r="G40" s="296">
        <f t="shared" si="35"/>
        <v>0</v>
      </c>
      <c r="H40" s="296">
        <f t="shared" si="35"/>
        <v>0</v>
      </c>
      <c r="I40" s="296">
        <f>+I33+I39+I36</f>
        <v>39324000</v>
      </c>
      <c r="J40" s="296">
        <f>+J33+J39+J36</f>
        <v>0</v>
      </c>
      <c r="K40" s="296">
        <f t="shared" si="35"/>
        <v>0</v>
      </c>
      <c r="L40" s="296">
        <f t="shared" si="35"/>
        <v>0</v>
      </c>
      <c r="M40" s="296">
        <f>+M33+M39+M36</f>
        <v>0</v>
      </c>
      <c r="N40" s="296">
        <f t="shared" si="35"/>
        <v>0</v>
      </c>
      <c r="O40" s="296">
        <f t="shared" si="35"/>
        <v>39324000</v>
      </c>
      <c r="P40" s="296">
        <f t="shared" si="35"/>
        <v>0</v>
      </c>
      <c r="Q40" s="296">
        <f>+Q33+Q39+Q36</f>
        <v>39324000</v>
      </c>
    </row>
    <row r="41" spans="1:17" ht="15" customHeight="1" thickBot="1" x14ac:dyDescent="0.25">
      <c r="A41" s="802" t="s">
        <v>8</v>
      </c>
      <c r="B41" s="803"/>
      <c r="C41" s="803"/>
      <c r="D41" s="297">
        <f>+D30+D40</f>
        <v>5540100</v>
      </c>
      <c r="E41" s="297">
        <f t="shared" ref="E41:Q41" si="36">+E30+E40</f>
        <v>112300</v>
      </c>
      <c r="F41" s="297">
        <f t="shared" si="36"/>
        <v>0</v>
      </c>
      <c r="G41" s="297">
        <f t="shared" si="36"/>
        <v>0</v>
      </c>
      <c r="H41" s="297">
        <f t="shared" si="36"/>
        <v>0</v>
      </c>
      <c r="I41" s="297">
        <f t="shared" si="36"/>
        <v>94725000</v>
      </c>
      <c r="J41" s="297">
        <f t="shared" si="36"/>
        <v>1123000</v>
      </c>
      <c r="K41" s="297">
        <f t="shared" si="36"/>
        <v>0</v>
      </c>
      <c r="L41" s="297">
        <f t="shared" si="36"/>
        <v>0</v>
      </c>
      <c r="M41" s="297">
        <f t="shared" si="36"/>
        <v>0</v>
      </c>
      <c r="N41" s="297">
        <f t="shared" si="36"/>
        <v>5652400</v>
      </c>
      <c r="O41" s="297">
        <f t="shared" si="36"/>
        <v>95848000</v>
      </c>
      <c r="P41" s="297">
        <f t="shared" si="36"/>
        <v>1641600</v>
      </c>
      <c r="Q41" s="297">
        <f t="shared" si="36"/>
        <v>103142000</v>
      </c>
    </row>
  </sheetData>
  <sheetProtection algorithmName="SHA-512" hashValue="bFX46WUqQmD+hQygcv/PXTF8kWkJsj6nxbZ0DPibDbPccxFgyDpYFyEv43G9dwXi9i0g9A7tABVjPcfFFnw6sw==" saltValue="Ng9mzdvHSE+6wm475IKPAg==" spinCount="100000" sheet="1" objects="1" scenarios="1"/>
  <mergeCells count="30"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31:Q32"/>
    <mergeCell ref="B34:B36"/>
    <mergeCell ref="Q34:Q35"/>
    <mergeCell ref="B37:B39"/>
    <mergeCell ref="Q37:Q38"/>
  </mergeCells>
  <phoneticPr fontId="34" type="noConversion"/>
  <conditionalFormatting sqref="C13:N13 E17:N17 B9:I9 B12:I12 B10:C11 E10:I11 D14:N16">
    <cfRule type="cellIs" dxfId="5" priority="8" stopIfTrue="1" operator="lessThan">
      <formula>0</formula>
    </cfRule>
  </conditionalFormatting>
  <conditionalFormatting sqref="D10:D11">
    <cfRule type="cellIs" dxfId="4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E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zoomScale="80" zoomScaleNormal="80" workbookViewId="0">
      <selection activeCell="M30" sqref="M30"/>
    </sheetView>
  </sheetViews>
  <sheetFormatPr baseColWidth="10" defaultColWidth="11.42578125" defaultRowHeight="12.75" x14ac:dyDescent="0.2"/>
  <cols>
    <col min="1" max="1" width="56.5703125" style="35" customWidth="1"/>
    <col min="2" max="2" width="33.85546875" style="322" customWidth="1"/>
    <col min="3" max="3" width="12.28515625" style="35" customWidth="1"/>
    <col min="4" max="4" width="13.7109375" style="35" bestFit="1" customWidth="1"/>
    <col min="5" max="5" width="15.5703125" style="35" bestFit="1" customWidth="1"/>
    <col min="6" max="6" width="14.5703125" style="35" customWidth="1"/>
    <col min="7" max="7" width="14.85546875" style="35" customWidth="1"/>
    <col min="8" max="8" width="11.85546875" style="35" bestFit="1" customWidth="1"/>
    <col min="9" max="9" width="14.5703125" style="35" bestFit="1" customWidth="1"/>
    <col min="10" max="10" width="14.5703125" style="35" customWidth="1"/>
    <col min="11" max="12" width="11.85546875" style="35" customWidth="1"/>
    <col min="13" max="13" width="14" style="35" customWidth="1"/>
    <col min="14" max="15" width="14.5703125" style="35" customWidth="1"/>
    <col min="16" max="16" width="11.85546875" style="35" customWidth="1"/>
    <col min="17" max="17" width="14" style="35" customWidth="1"/>
    <col min="18" max="18" width="11.85546875" style="322" customWidth="1"/>
    <col min="19" max="19" width="32.7109375" style="35" customWidth="1"/>
    <col min="20" max="20" width="33" style="322" bestFit="1" customWidth="1"/>
    <col min="21" max="21" width="13.85546875" style="35" customWidth="1"/>
    <col min="22" max="22" width="14.5703125" style="35" bestFit="1" customWidth="1"/>
    <col min="23" max="23" width="14.5703125" style="35" customWidth="1"/>
    <col min="24" max="24" width="12.85546875" style="35" bestFit="1" customWidth="1"/>
    <col min="25" max="16384" width="11.42578125" style="35"/>
  </cols>
  <sheetData>
    <row r="1" spans="1:256" s="5" customFormat="1" x14ac:dyDescent="0.2">
      <c r="A1" s="4"/>
      <c r="C1" s="6"/>
      <c r="D1" s="6"/>
      <c r="E1" s="6"/>
      <c r="F1" s="34" t="s">
        <v>199</v>
      </c>
      <c r="G1" s="6"/>
      <c r="R1" s="13"/>
      <c r="S1" s="4"/>
      <c r="IU1" s="3"/>
      <c r="IV1" s="3"/>
    </row>
    <row r="2" spans="1:256" s="5" customFormat="1" x14ac:dyDescent="0.2">
      <c r="A2" s="7"/>
      <c r="C2" s="6"/>
      <c r="D2" s="6"/>
      <c r="E2" s="6"/>
      <c r="F2" s="34" t="s">
        <v>192</v>
      </c>
      <c r="G2" s="6"/>
      <c r="R2" s="13"/>
      <c r="S2" s="7"/>
      <c r="V2" s="6"/>
      <c r="W2" s="6"/>
      <c r="X2" s="6"/>
      <c r="IU2" s="3"/>
      <c r="IV2" s="3"/>
    </row>
    <row r="3" spans="1:256" s="5" customFormat="1" x14ac:dyDescent="0.2">
      <c r="A3" s="3"/>
      <c r="R3" s="13"/>
      <c r="S3" s="3"/>
      <c r="IU3" s="3"/>
      <c r="IV3" s="3"/>
    </row>
    <row r="4" spans="1:256" s="5" customFormat="1" ht="13.5" thickBot="1" x14ac:dyDescent="0.25">
      <c r="A4" s="20"/>
      <c r="B4" s="2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7"/>
      <c r="S4" s="20"/>
      <c r="T4" s="21"/>
      <c r="U4" s="6"/>
      <c r="V4" s="6"/>
      <c r="W4" s="6"/>
      <c r="X4" s="6"/>
      <c r="Y4" s="6"/>
      <c r="IL4" s="3"/>
      <c r="IM4" s="3"/>
      <c r="IN4" s="3"/>
      <c r="IO4" s="3"/>
      <c r="IP4" s="3"/>
      <c r="IQ4" s="3"/>
    </row>
    <row r="5" spans="1:256" s="5" customFormat="1" ht="18" customHeight="1" thickBot="1" x14ac:dyDescent="0.25">
      <c r="A5" s="20"/>
      <c r="B5" s="21"/>
      <c r="C5" s="807" t="s">
        <v>0</v>
      </c>
      <c r="D5" s="858"/>
      <c r="E5" s="684"/>
      <c r="F5" s="838" t="s">
        <v>123</v>
      </c>
      <c r="G5" s="839"/>
      <c r="R5" s="13"/>
      <c r="S5" s="20"/>
      <c r="T5" s="21"/>
      <c r="V5" s="2"/>
      <c r="W5" s="2"/>
      <c r="IL5" s="3"/>
      <c r="IM5" s="3"/>
      <c r="IN5" s="3"/>
      <c r="IO5" s="3"/>
      <c r="IP5" s="3"/>
      <c r="IQ5" s="3"/>
    </row>
    <row r="6" spans="1:256" s="5" customFormat="1" ht="18" customHeight="1" x14ac:dyDescent="0.2">
      <c r="A6" s="20"/>
      <c r="B6" s="21"/>
      <c r="C6" s="684"/>
      <c r="D6" s="684"/>
      <c r="E6" s="684"/>
      <c r="F6" s="685"/>
      <c r="G6" s="685"/>
      <c r="R6" s="13"/>
      <c r="S6" s="20"/>
      <c r="T6" s="21"/>
      <c r="V6" s="2"/>
      <c r="W6" s="2"/>
      <c r="IL6" s="3"/>
      <c r="IM6" s="3"/>
      <c r="IN6" s="3"/>
      <c r="IO6" s="3"/>
      <c r="IP6" s="3"/>
      <c r="IQ6" s="3"/>
    </row>
    <row r="7" spans="1:256" s="5" customFormat="1" ht="18" customHeight="1" x14ac:dyDescent="0.2">
      <c r="A7" s="20"/>
      <c r="B7" s="21"/>
      <c r="C7" s="684"/>
      <c r="D7" s="684"/>
      <c r="E7" s="684"/>
      <c r="F7" s="685"/>
      <c r="G7" s="685"/>
      <c r="R7" s="13"/>
      <c r="S7" s="20"/>
      <c r="T7" s="21"/>
      <c r="V7" s="41"/>
      <c r="W7" s="41"/>
      <c r="IL7" s="3"/>
      <c r="IM7" s="3"/>
      <c r="IN7" s="3"/>
      <c r="IO7" s="3"/>
      <c r="IP7" s="3"/>
      <c r="IQ7" s="3"/>
    </row>
    <row r="8" spans="1:256" s="13" customFormat="1" ht="15.75" x14ac:dyDescent="0.2">
      <c r="A8" s="848" t="s">
        <v>146</v>
      </c>
      <c r="B8" s="848"/>
      <c r="C8" s="848"/>
      <c r="D8" s="848"/>
      <c r="E8" s="683"/>
      <c r="F8" s="685"/>
      <c r="G8" s="685"/>
      <c r="IL8" s="319"/>
      <c r="IM8" s="319"/>
      <c r="IN8" s="319"/>
      <c r="IO8" s="319"/>
      <c r="IP8" s="319"/>
      <c r="IQ8" s="319"/>
    </row>
    <row r="9" spans="1:256" ht="13.5" customHeight="1" thickBot="1" x14ac:dyDescent="0.25"/>
    <row r="10" spans="1:256" ht="15.75" customHeight="1" x14ac:dyDescent="0.2">
      <c r="A10" s="849" t="s">
        <v>133</v>
      </c>
      <c r="B10" s="843" t="s">
        <v>5</v>
      </c>
      <c r="C10" s="845" t="s">
        <v>224</v>
      </c>
      <c r="D10" s="846"/>
      <c r="E10" s="846"/>
      <c r="F10" s="846"/>
      <c r="G10" s="847"/>
      <c r="H10" s="864" t="s">
        <v>108</v>
      </c>
      <c r="I10" s="865"/>
      <c r="J10" s="865"/>
      <c r="K10" s="865"/>
      <c r="L10" s="866"/>
      <c r="M10" s="862" t="s">
        <v>234</v>
      </c>
      <c r="N10" s="846"/>
      <c r="O10" s="846"/>
      <c r="P10" s="846"/>
      <c r="Q10" s="863"/>
      <c r="R10" s="15"/>
    </row>
    <row r="11" spans="1:256" ht="94.5" customHeight="1" thickBot="1" x14ac:dyDescent="0.25">
      <c r="A11" s="850"/>
      <c r="B11" s="844"/>
      <c r="C11" s="478" t="s">
        <v>86</v>
      </c>
      <c r="D11" s="479" t="s">
        <v>134</v>
      </c>
      <c r="E11" s="479" t="s">
        <v>135</v>
      </c>
      <c r="F11" s="479" t="s">
        <v>87</v>
      </c>
      <c r="G11" s="480" t="s">
        <v>88</v>
      </c>
      <c r="H11" s="481" t="s">
        <v>86</v>
      </c>
      <c r="I11" s="482" t="s">
        <v>134</v>
      </c>
      <c r="J11" s="482" t="s">
        <v>135</v>
      </c>
      <c r="K11" s="483" t="s">
        <v>87</v>
      </c>
      <c r="L11" s="484" t="s">
        <v>88</v>
      </c>
      <c r="M11" s="489" t="s">
        <v>86</v>
      </c>
      <c r="N11" s="479" t="s">
        <v>134</v>
      </c>
      <c r="O11" s="479" t="s">
        <v>135</v>
      </c>
      <c r="P11" s="479" t="s">
        <v>87</v>
      </c>
      <c r="Q11" s="485" t="s">
        <v>88</v>
      </c>
      <c r="R11" s="15"/>
    </row>
    <row r="12" spans="1:256" ht="13.5" customHeight="1" x14ac:dyDescent="0.2">
      <c r="A12" s="867" t="s">
        <v>208</v>
      </c>
      <c r="B12" s="443" t="s">
        <v>127</v>
      </c>
      <c r="C12" s="446">
        <v>49400</v>
      </c>
      <c r="D12" s="447">
        <v>59300</v>
      </c>
      <c r="E12" s="447">
        <v>59300</v>
      </c>
      <c r="F12" s="447">
        <v>74800</v>
      </c>
      <c r="G12" s="486">
        <v>120100</v>
      </c>
      <c r="H12" s="490">
        <v>5.7000000000000002E-2</v>
      </c>
      <c r="I12" s="448">
        <f>+H12</f>
        <v>5.7000000000000002E-2</v>
      </c>
      <c r="J12" s="448">
        <f>+H12</f>
        <v>5.7000000000000002E-2</v>
      </c>
      <c r="K12" s="448">
        <f>+H12</f>
        <v>5.7000000000000002E-2</v>
      </c>
      <c r="L12" s="491">
        <f>+H12</f>
        <v>5.7000000000000002E-2</v>
      </c>
      <c r="M12" s="439">
        <f>CEILING(C12*(1+H12),100)</f>
        <v>52300</v>
      </c>
      <c r="N12" s="435">
        <f>+CEILING(C12*(1.2)*(1+I12),100)</f>
        <v>62700</v>
      </c>
      <c r="O12" s="435">
        <f>+CEILING(C12*(1.2)*(1+J12),100)</f>
        <v>62700</v>
      </c>
      <c r="P12" s="435">
        <f>+CEILING(F12*(1+K12),100)</f>
        <v>79100</v>
      </c>
      <c r="Q12" s="436">
        <f>+CEILING(G12*(1+L12),100)</f>
        <v>127000</v>
      </c>
      <c r="R12" s="56"/>
    </row>
    <row r="13" spans="1:256" ht="13.5" customHeight="1" x14ac:dyDescent="0.2">
      <c r="A13" s="856"/>
      <c r="B13" s="444" t="s">
        <v>205</v>
      </c>
      <c r="C13" s="449">
        <v>56400</v>
      </c>
      <c r="D13" s="442">
        <v>67700</v>
      </c>
      <c r="E13" s="442">
        <v>67700</v>
      </c>
      <c r="F13" s="442">
        <v>107000</v>
      </c>
      <c r="G13" s="487">
        <v>159400</v>
      </c>
      <c r="H13" s="492">
        <v>5.7000000000000002E-2</v>
      </c>
      <c r="I13" s="441">
        <f>+H13</f>
        <v>5.7000000000000002E-2</v>
      </c>
      <c r="J13" s="441">
        <f>+H13</f>
        <v>5.7000000000000002E-2</v>
      </c>
      <c r="K13" s="441">
        <f>+H13</f>
        <v>5.7000000000000002E-2</v>
      </c>
      <c r="L13" s="493">
        <f>+H13</f>
        <v>5.7000000000000002E-2</v>
      </c>
      <c r="M13" s="440">
        <f>CEILING(C13*(1+H13),100)</f>
        <v>59700</v>
      </c>
      <c r="N13" s="437">
        <f>+CEILING(C13*(1.2)*(1+I13),100)</f>
        <v>71600</v>
      </c>
      <c r="O13" s="437">
        <f>+CEILING(C13*(1.2)*(1+J13),100)</f>
        <v>71600</v>
      </c>
      <c r="P13" s="437">
        <f>+CEILING(F13*(1+K13),100)</f>
        <v>113100</v>
      </c>
      <c r="Q13" s="438">
        <f>+CEILING(G13*(1+L13),100)</f>
        <v>168500</v>
      </c>
      <c r="R13" s="56"/>
    </row>
    <row r="14" spans="1:256" ht="13.5" customHeight="1" thickBot="1" x14ac:dyDescent="0.25">
      <c r="A14" s="868"/>
      <c r="B14" s="445" t="s">
        <v>206</v>
      </c>
      <c r="C14" s="475">
        <v>88500</v>
      </c>
      <c r="D14" s="476">
        <v>106200</v>
      </c>
      <c r="E14" s="476">
        <v>106200</v>
      </c>
      <c r="F14" s="476">
        <v>137000</v>
      </c>
      <c r="G14" s="488">
        <v>220300</v>
      </c>
      <c r="H14" s="494">
        <v>5.7000000000000002E-2</v>
      </c>
      <c r="I14" s="252">
        <f t="shared" ref="I14" si="0">+H14</f>
        <v>5.7000000000000002E-2</v>
      </c>
      <c r="J14" s="252">
        <f t="shared" ref="J14" si="1">+H14</f>
        <v>5.7000000000000002E-2</v>
      </c>
      <c r="K14" s="252">
        <f t="shared" ref="K14" si="2">+H14</f>
        <v>5.7000000000000002E-2</v>
      </c>
      <c r="L14" s="495">
        <f t="shared" ref="L14" si="3">+H14</f>
        <v>5.7000000000000002E-2</v>
      </c>
      <c r="M14" s="477">
        <f t="shared" ref="M14:M17" si="4">CEILING(C14*(1+H14),100)</f>
        <v>93600</v>
      </c>
      <c r="N14" s="450">
        <f>+CEILING(C14*(1.2)*(1+I14),100)</f>
        <v>112300</v>
      </c>
      <c r="O14" s="450">
        <f t="shared" ref="O14:O15" si="5">+CEILING(C14*(1.2)*(1+J14),100)</f>
        <v>112300</v>
      </c>
      <c r="P14" s="450">
        <f t="shared" ref="P14:P15" si="6">+CEILING(F14*(1+K14),100)</f>
        <v>144900</v>
      </c>
      <c r="Q14" s="451">
        <f t="shared" ref="Q14" si="7">+CEILING(G14*(1+L14),100)</f>
        <v>232900</v>
      </c>
    </row>
    <row r="15" spans="1:256" ht="12.75" customHeight="1" x14ac:dyDescent="0.2">
      <c r="A15" s="855" t="s">
        <v>220</v>
      </c>
      <c r="B15" s="470" t="s">
        <v>223</v>
      </c>
      <c r="C15" s="716">
        <v>310000</v>
      </c>
      <c r="D15" s="717">
        <v>372000</v>
      </c>
      <c r="E15" s="717">
        <v>372000</v>
      </c>
      <c r="F15" s="717">
        <v>387500</v>
      </c>
      <c r="G15" s="718">
        <v>465000</v>
      </c>
      <c r="H15" s="496">
        <v>5.7000000000000002E-2</v>
      </c>
      <c r="I15" s="471">
        <f>+H15</f>
        <v>5.7000000000000002E-2</v>
      </c>
      <c r="J15" s="471">
        <f t="shared" ref="J15" si="8">+H15</f>
        <v>5.7000000000000002E-2</v>
      </c>
      <c r="K15" s="471">
        <f t="shared" ref="K15" si="9">+H15</f>
        <v>5.7000000000000002E-2</v>
      </c>
      <c r="L15" s="497">
        <f t="shared" ref="L15" si="10">+H15</f>
        <v>5.7000000000000002E-2</v>
      </c>
      <c r="M15" s="472">
        <f t="shared" si="4"/>
        <v>327700</v>
      </c>
      <c r="N15" s="473">
        <f>+CEILING(C15*(1.2)*(1+I15),100)</f>
        <v>393300</v>
      </c>
      <c r="O15" s="473">
        <f t="shared" si="5"/>
        <v>393300</v>
      </c>
      <c r="P15" s="473">
        <f t="shared" si="6"/>
        <v>409600</v>
      </c>
      <c r="Q15" s="474">
        <f>+CEILING(G15*(1+L15),100)</f>
        <v>491600</v>
      </c>
      <c r="R15" s="35"/>
    </row>
    <row r="16" spans="1:256" x14ac:dyDescent="0.2">
      <c r="A16" s="856"/>
      <c r="B16" s="444" t="s">
        <v>222</v>
      </c>
      <c r="C16" s="859"/>
      <c r="D16" s="860"/>
      <c r="E16" s="860"/>
      <c r="F16" s="860"/>
      <c r="G16" s="861"/>
      <c r="H16" s="859"/>
      <c r="I16" s="860"/>
      <c r="J16" s="860"/>
      <c r="K16" s="860"/>
      <c r="L16" s="861"/>
      <c r="M16" s="859"/>
      <c r="N16" s="860"/>
      <c r="O16" s="860"/>
      <c r="P16" s="860"/>
      <c r="Q16" s="861"/>
    </row>
    <row r="17" spans="1:17" ht="13.5" thickBot="1" x14ac:dyDescent="0.25">
      <c r="A17" s="857"/>
      <c r="B17" s="445" t="s">
        <v>221</v>
      </c>
      <c r="C17" s="719">
        <v>186000</v>
      </c>
      <c r="D17" s="720">
        <v>223200</v>
      </c>
      <c r="E17" s="720">
        <v>223200</v>
      </c>
      <c r="F17" s="720">
        <v>279000</v>
      </c>
      <c r="G17" s="721">
        <v>372000</v>
      </c>
      <c r="H17" s="494">
        <v>5.7000000000000002E-2</v>
      </c>
      <c r="I17" s="252">
        <f t="shared" ref="I17" si="11">+H17</f>
        <v>5.7000000000000002E-2</v>
      </c>
      <c r="J17" s="252">
        <f t="shared" ref="J17" si="12">+H17</f>
        <v>5.7000000000000002E-2</v>
      </c>
      <c r="K17" s="252">
        <f t="shared" ref="K17" si="13">+H17</f>
        <v>5.7000000000000002E-2</v>
      </c>
      <c r="L17" s="495">
        <f t="shared" ref="L17" si="14">+H17</f>
        <v>5.7000000000000002E-2</v>
      </c>
      <c r="M17" s="454">
        <f t="shared" si="4"/>
        <v>196700</v>
      </c>
      <c r="N17" s="450">
        <f>+CEILING(D17*(1.2)*(1+I17),100)</f>
        <v>283200</v>
      </c>
      <c r="O17" s="450">
        <f>+CEILING(E17*(1.2)*(1+J17),100)</f>
        <v>283200</v>
      </c>
      <c r="P17" s="450">
        <f>+CEILING(F17*(1+K17),100)</f>
        <v>295000</v>
      </c>
      <c r="Q17" s="451">
        <f>+CEILING(G17*(1+L17),100)</f>
        <v>393300</v>
      </c>
    </row>
    <row r="18" spans="1:17" x14ac:dyDescent="0.2">
      <c r="D18" s="129"/>
    </row>
    <row r="19" spans="1:17" ht="15.75" x14ac:dyDescent="0.2">
      <c r="A19" s="848" t="s">
        <v>147</v>
      </c>
      <c r="B19" s="848"/>
      <c r="C19" s="848"/>
      <c r="D19" s="848"/>
      <c r="E19" s="848"/>
      <c r="F19" s="848"/>
      <c r="G19" s="13"/>
      <c r="H19" s="13"/>
    </row>
    <row r="20" spans="1:17" ht="13.5" thickBot="1" x14ac:dyDescent="0.25"/>
    <row r="21" spans="1:17" ht="16.5" thickBot="1" x14ac:dyDescent="0.25">
      <c r="A21" s="853" t="s">
        <v>133</v>
      </c>
      <c r="B21" s="851" t="s">
        <v>5</v>
      </c>
      <c r="C21" s="840" t="s">
        <v>235</v>
      </c>
      <c r="D21" s="841"/>
      <c r="E21" s="841"/>
      <c r="F21" s="841"/>
      <c r="G21" s="841"/>
      <c r="H21" s="842"/>
    </row>
    <row r="22" spans="1:17" ht="82.5" customHeight="1" thickBot="1" x14ac:dyDescent="0.25">
      <c r="A22" s="854"/>
      <c r="B22" s="852"/>
      <c r="C22" s="506" t="s">
        <v>86</v>
      </c>
      <c r="D22" s="507" t="s">
        <v>134</v>
      </c>
      <c r="E22" s="507" t="s">
        <v>135</v>
      </c>
      <c r="F22" s="507" t="s">
        <v>87</v>
      </c>
      <c r="G22" s="508" t="s">
        <v>88</v>
      </c>
      <c r="H22" s="505" t="s">
        <v>132</v>
      </c>
    </row>
    <row r="23" spans="1:17" ht="20.100000000000001" customHeight="1" x14ac:dyDescent="0.2">
      <c r="A23" s="835" t="str">
        <f>+A12</f>
        <v>Jardín Infantil Olitas de Mar</v>
      </c>
      <c r="B23" s="499" t="str">
        <f>+B12</f>
        <v>Media jornada</v>
      </c>
      <c r="C23" s="502">
        <v>0</v>
      </c>
      <c r="D23" s="342">
        <v>0</v>
      </c>
      <c r="E23" s="342">
        <v>0</v>
      </c>
      <c r="F23" s="342">
        <v>0</v>
      </c>
      <c r="G23" s="509">
        <v>0</v>
      </c>
      <c r="H23" s="722">
        <f>SUM(C23:G23)</f>
        <v>0</v>
      </c>
    </row>
    <row r="24" spans="1:17" ht="20.100000000000001" customHeight="1" thickBot="1" x14ac:dyDescent="0.25">
      <c r="A24" s="836"/>
      <c r="B24" s="498" t="str">
        <f t="shared" ref="B24:B28" si="15">+B13</f>
        <v>Media jornada Extendida</v>
      </c>
      <c r="C24" s="503">
        <v>5</v>
      </c>
      <c r="D24" s="205">
        <v>0</v>
      </c>
      <c r="E24" s="205">
        <v>0</v>
      </c>
      <c r="F24" s="205">
        <v>0</v>
      </c>
      <c r="G24" s="510">
        <v>0</v>
      </c>
      <c r="H24" s="723">
        <f>SUM(C24:G24)</f>
        <v>5</v>
      </c>
    </row>
    <row r="25" spans="1:17" ht="20.100000000000001" customHeight="1" thickBot="1" x14ac:dyDescent="0.25">
      <c r="A25" s="837"/>
      <c r="B25" s="500" t="str">
        <f t="shared" si="15"/>
        <v>Jornada Completa</v>
      </c>
      <c r="C25" s="504">
        <v>56</v>
      </c>
      <c r="D25" s="128">
        <v>1</v>
      </c>
      <c r="E25" s="128">
        <v>0</v>
      </c>
      <c r="F25" s="128">
        <v>0</v>
      </c>
      <c r="G25" s="511">
        <v>0</v>
      </c>
      <c r="H25" s="724">
        <f t="shared" ref="H25" si="16">SUM(C25:G25)</f>
        <v>57</v>
      </c>
      <c r="I25" s="725">
        <f>SUM(H23:H25)</f>
        <v>62</v>
      </c>
      <c r="J25" s="674" t="s">
        <v>411</v>
      </c>
      <c r="K25" s="674"/>
      <c r="L25" s="674"/>
    </row>
    <row r="26" spans="1:17" ht="19.5" customHeight="1" x14ac:dyDescent="0.2">
      <c r="A26" s="832" t="str">
        <f>+A15</f>
        <v>Sala Cuna Olitas de Mar</v>
      </c>
      <c r="B26" s="499" t="str">
        <f t="shared" si="15"/>
        <v>Diurna</v>
      </c>
      <c r="C26" s="502">
        <v>10</v>
      </c>
      <c r="D26" s="342">
        <v>0</v>
      </c>
      <c r="E26" s="342">
        <v>0</v>
      </c>
      <c r="F26" s="342">
        <v>0</v>
      </c>
      <c r="G26" s="509">
        <v>0</v>
      </c>
      <c r="H26" s="722">
        <f>SUM(C26:G26)</f>
        <v>10</v>
      </c>
      <c r="J26" s="674"/>
      <c r="K26" s="674"/>
      <c r="L26" s="674"/>
    </row>
    <row r="27" spans="1:17" ht="19.5" customHeight="1" thickBot="1" x14ac:dyDescent="0.25">
      <c r="A27" s="833"/>
      <c r="B27" s="498" t="str">
        <f t="shared" si="15"/>
        <v>Nocturna</v>
      </c>
      <c r="C27" s="726"/>
      <c r="D27" s="727"/>
      <c r="E27" s="727"/>
      <c r="F27" s="727"/>
      <c r="G27" s="728"/>
      <c r="H27" s="729"/>
      <c r="J27" s="674"/>
      <c r="K27" s="674"/>
      <c r="L27" s="674"/>
    </row>
    <row r="28" spans="1:17" ht="19.5" customHeight="1" thickBot="1" x14ac:dyDescent="0.25">
      <c r="A28" s="834"/>
      <c r="B28" s="501" t="str">
        <f t="shared" si="15"/>
        <v>Media Jornada</v>
      </c>
      <c r="C28" s="504">
        <v>0</v>
      </c>
      <c r="D28" s="128">
        <v>0</v>
      </c>
      <c r="E28" s="128">
        <v>0</v>
      </c>
      <c r="F28" s="128">
        <v>0</v>
      </c>
      <c r="G28" s="511">
        <v>0</v>
      </c>
      <c r="H28" s="724">
        <f>SUM(C28:G28)</f>
        <v>0</v>
      </c>
      <c r="I28" s="725">
        <f>SUM(H26:H28)</f>
        <v>10</v>
      </c>
      <c r="J28" s="674" t="s">
        <v>412</v>
      </c>
      <c r="K28" s="674"/>
      <c r="L28" s="674"/>
    </row>
  </sheetData>
  <sheetProtection algorithmName="SHA-512" hashValue="BbV79BZqAUhNszc8oleDzrvsahyFQwbxzFONyNNyT/ohXK8DA+2DMjWHvcvKU18wU7Rf5qqAjhpbqZBeJ4L5Cg==" saltValue="F9yArLE46Fdf1GQ3Qv0wLA==" spinCount="100000" sheet="1" objects="1" scenarios="1"/>
  <mergeCells count="19">
    <mergeCell ref="M16:Q16"/>
    <mergeCell ref="H16:L16"/>
    <mergeCell ref="C16:G16"/>
    <mergeCell ref="M10:Q10"/>
    <mergeCell ref="A19:F19"/>
    <mergeCell ref="H10:L10"/>
    <mergeCell ref="A12:A14"/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5:D5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W207"/>
  <sheetViews>
    <sheetView showGridLines="0" topLeftCell="G20" zoomScale="80" zoomScaleNormal="80" workbookViewId="0">
      <selection activeCell="P68" sqref="P68"/>
    </sheetView>
  </sheetViews>
  <sheetFormatPr baseColWidth="10" defaultColWidth="11.42578125" defaultRowHeight="12.75" x14ac:dyDescent="0.2"/>
  <cols>
    <col min="1" max="1" width="30.28515625" style="319" customWidth="1"/>
    <col min="2" max="2" width="21.140625" style="3" customWidth="1"/>
    <col min="3" max="3" width="92" style="3" bestFit="1" customWidth="1"/>
    <col min="4" max="4" width="17" style="3" customWidth="1"/>
    <col min="5" max="5" width="14.28515625" style="3" customWidth="1"/>
    <col min="6" max="6" width="14.42578125" style="22" customWidth="1"/>
    <col min="7" max="7" width="14.28515625" style="5" customWidth="1"/>
    <col min="8" max="8" width="23" style="5" customWidth="1"/>
    <col min="9" max="9" width="15.7109375" style="3" bestFit="1" customWidth="1"/>
    <col min="10" max="10" width="14.42578125" style="3" bestFit="1" customWidth="1"/>
    <col min="11" max="11" width="14.42578125" style="3" customWidth="1"/>
    <col min="12" max="12" width="92.85546875" style="3" bestFit="1" customWidth="1"/>
    <col min="13" max="13" width="13.7109375" style="320" customWidth="1"/>
    <col min="14" max="14" width="12.85546875" style="320" bestFit="1" customWidth="1"/>
    <col min="15" max="15" width="12" style="320" bestFit="1" customWidth="1"/>
    <col min="16" max="16" width="27.5703125" style="3" customWidth="1"/>
    <col min="17" max="20" width="11.42578125" style="3"/>
    <col min="21" max="21" width="18.7109375" style="3" bestFit="1" customWidth="1"/>
    <col min="22" max="16384" width="11.42578125" style="3"/>
  </cols>
  <sheetData>
    <row r="1" spans="1:15" x14ac:dyDescent="0.2">
      <c r="C1" s="34"/>
      <c r="D1" s="34" t="s">
        <v>200</v>
      </c>
      <c r="E1" s="34"/>
      <c r="F1" s="34"/>
      <c r="G1" s="34"/>
      <c r="H1" s="34"/>
    </row>
    <row r="2" spans="1:15" x14ac:dyDescent="0.2">
      <c r="C2" s="34"/>
      <c r="D2" s="34" t="s">
        <v>209</v>
      </c>
      <c r="E2" s="34"/>
      <c r="F2" s="34"/>
      <c r="G2" s="34"/>
      <c r="H2" s="34"/>
    </row>
    <row r="3" spans="1:15" x14ac:dyDescent="0.2">
      <c r="C3" s="34"/>
      <c r="E3" s="34"/>
      <c r="F3" s="34"/>
      <c r="G3" s="34"/>
      <c r="H3" s="34"/>
    </row>
    <row r="4" spans="1:15" ht="19.5" customHeight="1" x14ac:dyDescent="0.2">
      <c r="C4" s="690" t="s">
        <v>0</v>
      </c>
      <c r="D4" s="883" t="s">
        <v>148</v>
      </c>
      <c r="E4" s="884"/>
      <c r="F4" s="34"/>
      <c r="G4" s="34"/>
      <c r="H4" s="34"/>
    </row>
    <row r="5" spans="1:15" x14ac:dyDescent="0.2">
      <c r="B5" s="34"/>
      <c r="C5" s="692"/>
      <c r="D5" s="34"/>
      <c r="E5" s="34"/>
      <c r="F5" s="34"/>
      <c r="G5" s="34"/>
      <c r="H5" s="34"/>
    </row>
    <row r="6" spans="1:15" x14ac:dyDescent="0.2">
      <c r="B6" s="34"/>
      <c r="C6" s="692"/>
      <c r="D6" s="34"/>
      <c r="E6" s="34"/>
      <c r="F6" s="34"/>
      <c r="G6" s="34"/>
      <c r="H6" s="34"/>
    </row>
    <row r="7" spans="1:15" x14ac:dyDescent="0.2">
      <c r="C7" s="5"/>
      <c r="H7" s="5" t="s">
        <v>408</v>
      </c>
    </row>
    <row r="8" spans="1:15" ht="15.75" x14ac:dyDescent="0.2">
      <c r="A8" s="848" t="s">
        <v>149</v>
      </c>
      <c r="B8" s="848"/>
      <c r="C8" s="848"/>
      <c r="D8" s="692"/>
      <c r="G8" s="3"/>
    </row>
    <row r="10" spans="1:15" ht="12.75" customHeight="1" x14ac:dyDescent="0.2">
      <c r="A10" s="869" t="s">
        <v>113</v>
      </c>
      <c r="B10" s="873" t="s">
        <v>75</v>
      </c>
      <c r="C10" s="871" t="s">
        <v>76</v>
      </c>
      <c r="D10" s="886" t="s">
        <v>77</v>
      </c>
      <c r="E10" s="885" t="s">
        <v>78</v>
      </c>
      <c r="F10" s="885"/>
      <c r="G10" s="885"/>
      <c r="H10" s="887" t="s">
        <v>236</v>
      </c>
      <c r="L10" s="879" t="s">
        <v>228</v>
      </c>
      <c r="M10" s="881" t="s">
        <v>227</v>
      </c>
      <c r="N10" s="881" t="s">
        <v>229</v>
      </c>
      <c r="O10" s="881" t="s">
        <v>230</v>
      </c>
    </row>
    <row r="11" spans="1:15" ht="39" customHeight="1" thickBot="1" x14ac:dyDescent="0.25">
      <c r="A11" s="870"/>
      <c r="B11" s="874"/>
      <c r="C11" s="872"/>
      <c r="D11" s="886"/>
      <c r="E11" s="197" t="s">
        <v>67</v>
      </c>
      <c r="F11" s="198" t="s">
        <v>68</v>
      </c>
      <c r="G11" s="691" t="s">
        <v>6</v>
      </c>
      <c r="H11" s="888"/>
      <c r="L11" s="880"/>
      <c r="M11" s="882"/>
      <c r="N11" s="882"/>
      <c r="O11" s="882"/>
    </row>
    <row r="12" spans="1:15" ht="15.75" customHeight="1" x14ac:dyDescent="0.2">
      <c r="A12" s="878" t="str">
        <f>+'B) Reajuste Tarifas y Ocupación'!A12</f>
        <v>Jardín Infantil Olitas de Mar</v>
      </c>
      <c r="B12" s="730"/>
      <c r="C12" s="731" t="s">
        <v>11</v>
      </c>
      <c r="D12" s="732">
        <f>SUM(D13+D18)</f>
        <v>46402116.702399999</v>
      </c>
      <c r="E12" s="733"/>
      <c r="F12" s="733"/>
      <c r="G12" s="734">
        <f>SUM(G13,G18)</f>
        <v>16018960</v>
      </c>
      <c r="H12" s="735">
        <f>SUM(H13,H18)</f>
        <v>62421076.702399999</v>
      </c>
      <c r="I12" s="736"/>
      <c r="J12" s="736"/>
      <c r="L12" s="737" t="s">
        <v>11</v>
      </c>
      <c r="M12" s="738"/>
      <c r="N12" s="738"/>
      <c r="O12" s="738"/>
    </row>
    <row r="13" spans="1:15" ht="12.75" customHeight="1" x14ac:dyDescent="0.2">
      <c r="A13" s="800"/>
      <c r="B13" s="739"/>
      <c r="C13" s="740" t="s">
        <v>12</v>
      </c>
      <c r="D13" s="741">
        <f>SUM(D14:D17)</f>
        <v>40718376.702399999</v>
      </c>
      <c r="E13" s="742"/>
      <c r="F13" s="742"/>
      <c r="G13" s="743">
        <f>SUM(G14:G17)</f>
        <v>0</v>
      </c>
      <c r="H13" s="744">
        <f>SUM(H14:H17)</f>
        <v>40718376.702399999</v>
      </c>
      <c r="I13" s="736"/>
      <c r="J13" s="736"/>
      <c r="L13" s="745" t="s">
        <v>16</v>
      </c>
      <c r="M13" s="746"/>
      <c r="N13" s="746"/>
      <c r="O13" s="746"/>
    </row>
    <row r="14" spans="1:15" ht="12.75" customHeight="1" x14ac:dyDescent="0.2">
      <c r="A14" s="800"/>
      <c r="B14" s="747">
        <v>53103040100000</v>
      </c>
      <c r="C14" s="748" t="s">
        <v>95</v>
      </c>
      <c r="D14" s="749">
        <f>'F) Remuneraciones'!L11</f>
        <v>40195561.702399999</v>
      </c>
      <c r="E14" s="560">
        <v>0</v>
      </c>
      <c r="F14" s="750">
        <v>0</v>
      </c>
      <c r="G14" s="560">
        <f>E14*F14</f>
        <v>0</v>
      </c>
      <c r="H14" s="561">
        <f>D14+G14</f>
        <v>40195561.702399999</v>
      </c>
      <c r="I14" s="736"/>
      <c r="J14" s="736"/>
      <c r="L14" s="751" t="s">
        <v>174</v>
      </c>
      <c r="M14" s="1063">
        <v>222860</v>
      </c>
      <c r="N14" s="316">
        <f t="shared" ref="N14:N61" si="0">M14*0.8</f>
        <v>178288</v>
      </c>
      <c r="O14" s="316">
        <f t="shared" ref="O14:O61" si="1">M14*0.2</f>
        <v>44572</v>
      </c>
    </row>
    <row r="15" spans="1:15" ht="12.75" customHeight="1" x14ac:dyDescent="0.2">
      <c r="A15" s="800"/>
      <c r="B15" s="747">
        <v>53103050000000</v>
      </c>
      <c r="C15" s="748" t="s">
        <v>168</v>
      </c>
      <c r="D15" s="343">
        <v>0</v>
      </c>
      <c r="E15" s="344">
        <v>0</v>
      </c>
      <c r="F15" s="345">
        <v>0</v>
      </c>
      <c r="G15" s="560">
        <f>E15*F15</f>
        <v>0</v>
      </c>
      <c r="H15" s="561">
        <f>D15+G15</f>
        <v>0</v>
      </c>
      <c r="I15" s="736"/>
      <c r="J15" s="736"/>
      <c r="L15" s="752" t="s">
        <v>19</v>
      </c>
      <c r="M15" s="1064">
        <v>105757</v>
      </c>
      <c r="N15" s="316">
        <f t="shared" si="0"/>
        <v>84605.6</v>
      </c>
      <c r="O15" s="316">
        <f t="shared" si="1"/>
        <v>21151.4</v>
      </c>
    </row>
    <row r="16" spans="1:15" ht="12.75" customHeight="1" x14ac:dyDescent="0.2">
      <c r="A16" s="800"/>
      <c r="B16" s="753">
        <v>53103040400000</v>
      </c>
      <c r="C16" s="754" t="s">
        <v>169</v>
      </c>
      <c r="D16" s="343">
        <v>522815</v>
      </c>
      <c r="E16" s="646">
        <v>0</v>
      </c>
      <c r="F16" s="647">
        <v>0</v>
      </c>
      <c r="G16" s="649">
        <f>E16*F16</f>
        <v>0</v>
      </c>
      <c r="H16" s="755">
        <f>D16+G16</f>
        <v>522815</v>
      </c>
      <c r="I16" s="671" t="s">
        <v>409</v>
      </c>
      <c r="J16" s="736"/>
      <c r="L16" s="752" t="s">
        <v>175</v>
      </c>
      <c r="M16" s="1064">
        <v>151950</v>
      </c>
      <c r="N16" s="316">
        <f t="shared" si="0"/>
        <v>121560</v>
      </c>
      <c r="O16" s="316">
        <f t="shared" si="1"/>
        <v>30390</v>
      </c>
    </row>
    <row r="17" spans="1:20" ht="12.75" customHeight="1" x14ac:dyDescent="0.2">
      <c r="A17" s="800"/>
      <c r="B17" s="747">
        <v>53103080010000</v>
      </c>
      <c r="C17" s="748" t="s">
        <v>170</v>
      </c>
      <c r="D17" s="343">
        <v>0</v>
      </c>
      <c r="E17" s="646">
        <v>0</v>
      </c>
      <c r="F17" s="647">
        <v>0</v>
      </c>
      <c r="G17" s="649">
        <f>E17*F17</f>
        <v>0</v>
      </c>
      <c r="H17" s="755">
        <f>D17+G17</f>
        <v>0</v>
      </c>
      <c r="I17" s="671" t="s">
        <v>410</v>
      </c>
      <c r="J17" s="736"/>
      <c r="L17" s="752" t="s">
        <v>210</v>
      </c>
      <c r="M17" s="1064">
        <v>76145</v>
      </c>
      <c r="N17" s="316">
        <f t="shared" si="0"/>
        <v>60916</v>
      </c>
      <c r="O17" s="316">
        <f t="shared" si="1"/>
        <v>15229</v>
      </c>
    </row>
    <row r="18" spans="1:20" ht="12.75" customHeight="1" x14ac:dyDescent="0.2">
      <c r="A18" s="800"/>
      <c r="B18" s="739"/>
      <c r="C18" s="740" t="s">
        <v>16</v>
      </c>
      <c r="D18" s="741">
        <f>SUM(D19:D38)</f>
        <v>5683740.0000000009</v>
      </c>
      <c r="E18" s="742"/>
      <c r="F18" s="742"/>
      <c r="G18" s="741">
        <f>SUM(G19:G38)</f>
        <v>16018960</v>
      </c>
      <c r="H18" s="744">
        <f>SUM(H19:H38)</f>
        <v>21702700</v>
      </c>
      <c r="I18" s="736"/>
      <c r="J18" s="736"/>
      <c r="L18" s="752" t="s">
        <v>22</v>
      </c>
      <c r="M18" s="1064">
        <v>0</v>
      </c>
      <c r="N18" s="316">
        <f t="shared" si="0"/>
        <v>0</v>
      </c>
      <c r="O18" s="316">
        <f t="shared" si="1"/>
        <v>0</v>
      </c>
    </row>
    <row r="19" spans="1:20" ht="12.75" customHeight="1" x14ac:dyDescent="0.2">
      <c r="A19" s="800"/>
      <c r="B19" s="747">
        <v>53201010100000</v>
      </c>
      <c r="C19" s="756" t="s">
        <v>171</v>
      </c>
      <c r="D19" s="343">
        <v>0</v>
      </c>
      <c r="E19" s="646">
        <v>1821</v>
      </c>
      <c r="F19" s="345">
        <f>6*20*11</f>
        <v>1320</v>
      </c>
      <c r="G19" s="560">
        <f t="shared" ref="G19:G38" si="2">E19*F19</f>
        <v>2403720</v>
      </c>
      <c r="H19" s="561">
        <f t="shared" ref="H19:H38" si="3">D19+G19</f>
        <v>2403720</v>
      </c>
      <c r="I19" s="671" t="s">
        <v>441</v>
      </c>
      <c r="J19" s="736"/>
      <c r="L19" s="752" t="s">
        <v>177</v>
      </c>
      <c r="M19" s="1064">
        <v>0</v>
      </c>
      <c r="N19" s="316">
        <f t="shared" si="0"/>
        <v>0</v>
      </c>
      <c r="O19" s="316">
        <f t="shared" si="1"/>
        <v>0</v>
      </c>
    </row>
    <row r="20" spans="1:20" ht="12.75" customHeight="1" x14ac:dyDescent="0.2">
      <c r="A20" s="800"/>
      <c r="B20" s="747">
        <v>53201010100000</v>
      </c>
      <c r="C20" s="756" t="s">
        <v>172</v>
      </c>
      <c r="D20" s="343">
        <v>0</v>
      </c>
      <c r="E20" s="344">
        <v>1058</v>
      </c>
      <c r="F20" s="345">
        <f>(62*20*10)+(20*1*20)</f>
        <v>12800</v>
      </c>
      <c r="G20" s="560">
        <f t="shared" si="2"/>
        <v>13542400</v>
      </c>
      <c r="H20" s="561">
        <f t="shared" si="3"/>
        <v>13542400</v>
      </c>
      <c r="I20" s="671" t="s">
        <v>444</v>
      </c>
      <c r="J20" s="736"/>
      <c r="L20" s="752" t="s">
        <v>24</v>
      </c>
      <c r="M20" s="1064">
        <v>1361477</v>
      </c>
      <c r="N20" s="316">
        <f t="shared" si="0"/>
        <v>1089181.6000000001</v>
      </c>
      <c r="O20" s="316">
        <f t="shared" si="1"/>
        <v>272295.40000000002</v>
      </c>
    </row>
    <row r="21" spans="1:20" ht="12.75" customHeight="1" x14ac:dyDescent="0.2">
      <c r="A21" s="800"/>
      <c r="B21" s="747">
        <v>53201010100000</v>
      </c>
      <c r="C21" s="756" t="s">
        <v>173</v>
      </c>
      <c r="D21" s="343">
        <v>0</v>
      </c>
      <c r="E21" s="646">
        <v>1821</v>
      </c>
      <c r="F21" s="345">
        <f>2*20</f>
        <v>40</v>
      </c>
      <c r="G21" s="560">
        <f t="shared" si="2"/>
        <v>72840</v>
      </c>
      <c r="H21" s="561">
        <f t="shared" si="3"/>
        <v>72840</v>
      </c>
      <c r="I21" s="736"/>
      <c r="J21" s="736"/>
      <c r="L21" s="752" t="s">
        <v>25</v>
      </c>
      <c r="M21" s="1064">
        <v>1488277</v>
      </c>
      <c r="N21" s="316">
        <f t="shared" si="0"/>
        <v>1190621.6000000001</v>
      </c>
      <c r="O21" s="316">
        <f t="shared" si="1"/>
        <v>297655.40000000002</v>
      </c>
    </row>
    <row r="22" spans="1:20" ht="12.75" customHeight="1" x14ac:dyDescent="0.2">
      <c r="A22" s="800"/>
      <c r="B22" s="747">
        <v>53202010100000</v>
      </c>
      <c r="C22" s="748" t="s">
        <v>174</v>
      </c>
      <c r="D22" s="757">
        <f t="shared" ref="D22:D38" si="4">N14</f>
        <v>178288</v>
      </c>
      <c r="E22" s="757">
        <v>0</v>
      </c>
      <c r="F22" s="562">
        <v>0</v>
      </c>
      <c r="G22" s="560">
        <f t="shared" si="2"/>
        <v>0</v>
      </c>
      <c r="H22" s="561">
        <f t="shared" si="3"/>
        <v>178288</v>
      </c>
      <c r="I22" s="736"/>
      <c r="J22" s="736"/>
      <c r="L22" s="752" t="s">
        <v>26</v>
      </c>
      <c r="M22" s="1064">
        <v>1782016</v>
      </c>
      <c r="N22" s="316">
        <f t="shared" si="0"/>
        <v>1425612.8</v>
      </c>
      <c r="O22" s="316">
        <f t="shared" si="1"/>
        <v>356403.20000000001</v>
      </c>
    </row>
    <row r="23" spans="1:20" ht="12.75" customHeight="1" x14ac:dyDescent="0.2">
      <c r="A23" s="800"/>
      <c r="B23" s="747">
        <v>53203010100000</v>
      </c>
      <c r="C23" s="748" t="s">
        <v>19</v>
      </c>
      <c r="D23" s="560">
        <f t="shared" si="4"/>
        <v>84605.6</v>
      </c>
      <c r="E23" s="560">
        <v>0</v>
      </c>
      <c r="F23" s="562">
        <v>0</v>
      </c>
      <c r="G23" s="560">
        <f t="shared" si="2"/>
        <v>0</v>
      </c>
      <c r="H23" s="561">
        <f t="shared" si="3"/>
        <v>84605.6</v>
      </c>
      <c r="I23" s="736"/>
      <c r="J23" s="736"/>
      <c r="L23" s="752" t="s">
        <v>27</v>
      </c>
      <c r="M23" s="1064">
        <v>0</v>
      </c>
      <c r="N23" s="316">
        <f t="shared" si="0"/>
        <v>0</v>
      </c>
      <c r="O23" s="316">
        <f t="shared" si="1"/>
        <v>0</v>
      </c>
    </row>
    <row r="24" spans="1:20" ht="12.75" customHeight="1" x14ac:dyDescent="0.2">
      <c r="A24" s="800"/>
      <c r="B24" s="747">
        <v>53203030000000</v>
      </c>
      <c r="C24" s="748" t="s">
        <v>175</v>
      </c>
      <c r="D24" s="560">
        <f t="shared" si="4"/>
        <v>121560</v>
      </c>
      <c r="E24" s="560">
        <v>0</v>
      </c>
      <c r="F24" s="562">
        <v>0</v>
      </c>
      <c r="G24" s="560">
        <f t="shared" si="2"/>
        <v>0</v>
      </c>
      <c r="H24" s="561">
        <f t="shared" si="3"/>
        <v>121560</v>
      </c>
      <c r="I24" s="736"/>
      <c r="J24" s="736"/>
      <c r="L24" s="752" t="s">
        <v>29</v>
      </c>
      <c r="M24" s="1064">
        <v>329835</v>
      </c>
      <c r="N24" s="316">
        <f t="shared" si="0"/>
        <v>263868</v>
      </c>
      <c r="O24" s="316">
        <f t="shared" si="1"/>
        <v>65967</v>
      </c>
    </row>
    <row r="25" spans="1:20" ht="12.75" customHeight="1" x14ac:dyDescent="0.2">
      <c r="A25" s="800"/>
      <c r="B25" s="747">
        <v>53204030000000</v>
      </c>
      <c r="C25" s="748" t="s">
        <v>210</v>
      </c>
      <c r="D25" s="560">
        <f t="shared" si="4"/>
        <v>60916</v>
      </c>
      <c r="E25" s="560">
        <v>0</v>
      </c>
      <c r="F25" s="562">
        <v>0</v>
      </c>
      <c r="G25" s="560">
        <f t="shared" si="2"/>
        <v>0</v>
      </c>
      <c r="H25" s="561">
        <f>D25+G25</f>
        <v>60916</v>
      </c>
      <c r="I25" s="758"/>
      <c r="J25" s="736"/>
      <c r="L25" s="752" t="s">
        <v>30</v>
      </c>
      <c r="M25" s="1064">
        <v>0</v>
      </c>
      <c r="N25" s="316">
        <f t="shared" si="0"/>
        <v>0</v>
      </c>
      <c r="O25" s="316">
        <f t="shared" si="1"/>
        <v>0</v>
      </c>
    </row>
    <row r="26" spans="1:20" ht="12.75" customHeight="1" x14ac:dyDescent="0.2">
      <c r="A26" s="800"/>
      <c r="B26" s="747">
        <v>53204100100001</v>
      </c>
      <c r="C26" s="748" t="s">
        <v>22</v>
      </c>
      <c r="D26" s="560">
        <f t="shared" si="4"/>
        <v>0</v>
      </c>
      <c r="E26" s="560">
        <v>0</v>
      </c>
      <c r="F26" s="562">
        <v>0</v>
      </c>
      <c r="G26" s="560">
        <f t="shared" si="2"/>
        <v>0</v>
      </c>
      <c r="H26" s="561">
        <f t="shared" si="3"/>
        <v>0</v>
      </c>
      <c r="I26" s="736"/>
      <c r="J26" s="736"/>
      <c r="L26" s="752" t="s">
        <v>31</v>
      </c>
      <c r="M26" s="1063">
        <v>0</v>
      </c>
      <c r="N26" s="316">
        <f t="shared" si="0"/>
        <v>0</v>
      </c>
      <c r="O26" s="316">
        <f t="shared" si="1"/>
        <v>0</v>
      </c>
    </row>
    <row r="27" spans="1:20" ht="12.75" customHeight="1" x14ac:dyDescent="0.2">
      <c r="A27" s="800"/>
      <c r="B27" s="747">
        <v>53204130100000</v>
      </c>
      <c r="C27" s="748" t="s">
        <v>177</v>
      </c>
      <c r="D27" s="560">
        <f t="shared" si="4"/>
        <v>0</v>
      </c>
      <c r="E27" s="560">
        <v>0</v>
      </c>
      <c r="F27" s="562">
        <v>0</v>
      </c>
      <c r="G27" s="560">
        <f t="shared" si="2"/>
        <v>0</v>
      </c>
      <c r="H27" s="561">
        <f t="shared" si="3"/>
        <v>0</v>
      </c>
      <c r="I27" s="736"/>
      <c r="J27" s="736"/>
      <c r="L27" s="752" t="s">
        <v>178</v>
      </c>
      <c r="M27" s="1064">
        <v>0</v>
      </c>
      <c r="N27" s="316">
        <f t="shared" si="0"/>
        <v>0</v>
      </c>
      <c r="O27" s="316">
        <f t="shared" si="1"/>
        <v>0</v>
      </c>
    </row>
    <row r="28" spans="1:20" ht="12.75" customHeight="1" x14ac:dyDescent="0.2">
      <c r="A28" s="800"/>
      <c r="B28" s="747">
        <v>53205010100000</v>
      </c>
      <c r="C28" s="748" t="s">
        <v>24</v>
      </c>
      <c r="D28" s="560">
        <f t="shared" si="4"/>
        <v>1089181.6000000001</v>
      </c>
      <c r="E28" s="560">
        <v>0</v>
      </c>
      <c r="F28" s="562">
        <v>0</v>
      </c>
      <c r="G28" s="560">
        <f t="shared" si="2"/>
        <v>0</v>
      </c>
      <c r="H28" s="561">
        <f t="shared" si="3"/>
        <v>1089181.6000000001</v>
      </c>
      <c r="I28" s="736"/>
      <c r="J28" s="736"/>
      <c r="L28" s="752" t="s">
        <v>32</v>
      </c>
      <c r="M28" s="1064"/>
      <c r="N28" s="316">
        <f t="shared" si="0"/>
        <v>0</v>
      </c>
      <c r="O28" s="316">
        <f t="shared" si="1"/>
        <v>0</v>
      </c>
    </row>
    <row r="29" spans="1:20" ht="12.75" customHeight="1" x14ac:dyDescent="0.2">
      <c r="A29" s="800"/>
      <c r="B29" s="747">
        <v>53205020100000</v>
      </c>
      <c r="C29" s="748" t="s">
        <v>25</v>
      </c>
      <c r="D29" s="560">
        <f t="shared" si="4"/>
        <v>1190621.6000000001</v>
      </c>
      <c r="E29" s="560">
        <v>0</v>
      </c>
      <c r="F29" s="562">
        <v>0</v>
      </c>
      <c r="G29" s="560">
        <f t="shared" si="2"/>
        <v>0</v>
      </c>
      <c r="H29" s="561">
        <f t="shared" si="3"/>
        <v>1190621.6000000001</v>
      </c>
      <c r="I29" s="736"/>
      <c r="J29" s="736"/>
      <c r="L29" s="751" t="s">
        <v>179</v>
      </c>
      <c r="M29" s="1064">
        <v>1586358</v>
      </c>
      <c r="N29" s="316">
        <f t="shared" si="0"/>
        <v>1269086.4000000001</v>
      </c>
      <c r="O29" s="316">
        <f t="shared" si="1"/>
        <v>317271.60000000003</v>
      </c>
      <c r="P29" s="671" t="s">
        <v>403</v>
      </c>
      <c r="R29" s="672"/>
      <c r="S29" s="672"/>
      <c r="T29" s="673">
        <v>520000</v>
      </c>
    </row>
    <row r="30" spans="1:20" ht="12.75" customHeight="1" x14ac:dyDescent="0.2">
      <c r="A30" s="800"/>
      <c r="B30" s="747">
        <v>53205030100000</v>
      </c>
      <c r="C30" s="748" t="s">
        <v>26</v>
      </c>
      <c r="D30" s="560">
        <f t="shared" si="4"/>
        <v>1425612.8</v>
      </c>
      <c r="E30" s="560">
        <v>0</v>
      </c>
      <c r="F30" s="562">
        <v>0</v>
      </c>
      <c r="G30" s="560">
        <f t="shared" si="2"/>
        <v>0</v>
      </c>
      <c r="H30" s="561">
        <f t="shared" si="3"/>
        <v>1425612.8</v>
      </c>
      <c r="I30" s="736"/>
      <c r="J30" s="736"/>
      <c r="L30" s="752" t="s">
        <v>180</v>
      </c>
      <c r="M30" s="1063">
        <v>0</v>
      </c>
      <c r="N30" s="316">
        <f t="shared" si="0"/>
        <v>0</v>
      </c>
      <c r="O30" s="316">
        <f t="shared" si="1"/>
        <v>0</v>
      </c>
    </row>
    <row r="31" spans="1:20" ht="12.75" customHeight="1" x14ac:dyDescent="0.2">
      <c r="A31" s="800"/>
      <c r="B31" s="747">
        <v>53205050100000</v>
      </c>
      <c r="C31" s="748" t="s">
        <v>27</v>
      </c>
      <c r="D31" s="560">
        <f t="shared" si="4"/>
        <v>0</v>
      </c>
      <c r="E31" s="560">
        <v>0</v>
      </c>
      <c r="F31" s="562">
        <v>0</v>
      </c>
      <c r="G31" s="560">
        <f t="shared" si="2"/>
        <v>0</v>
      </c>
      <c r="H31" s="561">
        <f t="shared" si="3"/>
        <v>0</v>
      </c>
      <c r="I31" s="736"/>
      <c r="J31" s="736"/>
      <c r="L31" s="731" t="s">
        <v>34</v>
      </c>
      <c r="M31" s="759">
        <v>0</v>
      </c>
      <c r="N31" s="759"/>
      <c r="O31" s="759"/>
    </row>
    <row r="32" spans="1:20" ht="12.75" customHeight="1" x14ac:dyDescent="0.2">
      <c r="A32" s="800"/>
      <c r="B32" s="747">
        <v>53205070100000</v>
      </c>
      <c r="C32" s="748" t="s">
        <v>29</v>
      </c>
      <c r="D32" s="560">
        <f t="shared" si="4"/>
        <v>263868</v>
      </c>
      <c r="E32" s="560">
        <v>0</v>
      </c>
      <c r="F32" s="562">
        <v>0</v>
      </c>
      <c r="G32" s="560">
        <f t="shared" si="2"/>
        <v>0</v>
      </c>
      <c r="H32" s="561">
        <f t="shared" si="3"/>
        <v>263868</v>
      </c>
      <c r="I32" s="736"/>
      <c r="J32" s="736"/>
      <c r="L32" s="740" t="s">
        <v>35</v>
      </c>
      <c r="M32" s="760"/>
      <c r="N32" s="760"/>
      <c r="O32" s="760"/>
    </row>
    <row r="33" spans="1:16" ht="12.75" customHeight="1" x14ac:dyDescent="0.2">
      <c r="A33" s="800"/>
      <c r="B33" s="747">
        <v>53208010100000</v>
      </c>
      <c r="C33" s="748" t="s">
        <v>30</v>
      </c>
      <c r="D33" s="560">
        <f t="shared" si="4"/>
        <v>0</v>
      </c>
      <c r="E33" s="560">
        <v>0</v>
      </c>
      <c r="F33" s="562">
        <v>0</v>
      </c>
      <c r="G33" s="560">
        <f t="shared" si="2"/>
        <v>0</v>
      </c>
      <c r="H33" s="561">
        <f t="shared" si="3"/>
        <v>0</v>
      </c>
      <c r="I33" s="736"/>
      <c r="J33" s="736"/>
      <c r="L33" s="752" t="s">
        <v>41</v>
      </c>
      <c r="M33" s="1065">
        <f>65000*4</f>
        <v>260000</v>
      </c>
      <c r="N33" s="677">
        <f t="shared" si="0"/>
        <v>208000</v>
      </c>
      <c r="O33" s="677">
        <f t="shared" si="1"/>
        <v>52000</v>
      </c>
      <c r="P33" s="671" t="s">
        <v>413</v>
      </c>
    </row>
    <row r="34" spans="1:16" ht="12.75" customHeight="1" x14ac:dyDescent="0.2">
      <c r="A34" s="800"/>
      <c r="B34" s="747">
        <v>53208070100001</v>
      </c>
      <c r="C34" s="748" t="s">
        <v>31</v>
      </c>
      <c r="D34" s="560">
        <f t="shared" si="4"/>
        <v>0</v>
      </c>
      <c r="E34" s="560">
        <v>0</v>
      </c>
      <c r="F34" s="562">
        <v>0</v>
      </c>
      <c r="G34" s="560">
        <f t="shared" si="2"/>
        <v>0</v>
      </c>
      <c r="H34" s="561">
        <f t="shared" si="3"/>
        <v>0</v>
      </c>
      <c r="I34" s="736"/>
      <c r="J34" s="736"/>
      <c r="L34" s="751" t="s">
        <v>183</v>
      </c>
      <c r="M34" s="1064">
        <v>180489</v>
      </c>
      <c r="N34" s="316">
        <f t="shared" si="0"/>
        <v>144391.20000000001</v>
      </c>
      <c r="O34" s="316">
        <f t="shared" si="1"/>
        <v>36097.800000000003</v>
      </c>
    </row>
    <row r="35" spans="1:16" ht="12.75" customHeight="1" x14ac:dyDescent="0.2">
      <c r="A35" s="800"/>
      <c r="B35" s="747">
        <v>53208100100001</v>
      </c>
      <c r="C35" s="748" t="s">
        <v>178</v>
      </c>
      <c r="D35" s="560">
        <f t="shared" si="4"/>
        <v>0</v>
      </c>
      <c r="E35" s="560">
        <v>0</v>
      </c>
      <c r="F35" s="562">
        <v>0</v>
      </c>
      <c r="G35" s="560">
        <f t="shared" si="2"/>
        <v>0</v>
      </c>
      <c r="H35" s="561">
        <f t="shared" si="3"/>
        <v>0</v>
      </c>
      <c r="I35" s="736"/>
      <c r="J35" s="736"/>
      <c r="L35" s="740" t="s">
        <v>42</v>
      </c>
      <c r="M35" s="760"/>
      <c r="N35" s="760"/>
      <c r="O35" s="760"/>
    </row>
    <row r="36" spans="1:16" ht="12.75" customHeight="1" x14ac:dyDescent="0.2">
      <c r="A36" s="800"/>
      <c r="B36" s="747">
        <v>53211030000000</v>
      </c>
      <c r="C36" s="748" t="s">
        <v>32</v>
      </c>
      <c r="D36" s="560">
        <f t="shared" si="4"/>
        <v>0</v>
      </c>
      <c r="E36" s="560">
        <v>0</v>
      </c>
      <c r="F36" s="562">
        <v>0</v>
      </c>
      <c r="G36" s="560">
        <f t="shared" si="2"/>
        <v>0</v>
      </c>
      <c r="H36" s="561">
        <f t="shared" si="3"/>
        <v>0</v>
      </c>
      <c r="I36" s="736"/>
      <c r="J36" s="736"/>
      <c r="L36" s="752" t="s">
        <v>44</v>
      </c>
      <c r="M36" s="1064">
        <v>0</v>
      </c>
      <c r="N36" s="316">
        <f t="shared" si="0"/>
        <v>0</v>
      </c>
      <c r="O36" s="316">
        <f t="shared" si="1"/>
        <v>0</v>
      </c>
    </row>
    <row r="37" spans="1:16" ht="12.75" customHeight="1" x14ac:dyDescent="0.2">
      <c r="A37" s="800"/>
      <c r="B37" s="747">
        <v>53212020100000</v>
      </c>
      <c r="C37" s="748" t="s">
        <v>179</v>
      </c>
      <c r="D37" s="560">
        <f t="shared" si="4"/>
        <v>1269086.4000000001</v>
      </c>
      <c r="E37" s="560">
        <v>0</v>
      </c>
      <c r="F37" s="562">
        <v>0</v>
      </c>
      <c r="G37" s="560">
        <f t="shared" si="2"/>
        <v>0</v>
      </c>
      <c r="H37" s="561">
        <f t="shared" si="3"/>
        <v>1269086.4000000001</v>
      </c>
      <c r="I37" s="736"/>
      <c r="J37" s="736"/>
      <c r="L37" s="740" t="s">
        <v>45</v>
      </c>
      <c r="M37" s="740"/>
      <c r="N37" s="761"/>
      <c r="O37" s="761"/>
    </row>
    <row r="38" spans="1:16" ht="12.75" customHeight="1" x14ac:dyDescent="0.2">
      <c r="A38" s="800"/>
      <c r="B38" s="747">
        <v>53214020000000</v>
      </c>
      <c r="C38" s="748" t="s">
        <v>180</v>
      </c>
      <c r="D38" s="560">
        <f t="shared" si="4"/>
        <v>0</v>
      </c>
      <c r="E38" s="560">
        <v>0</v>
      </c>
      <c r="F38" s="562">
        <v>0</v>
      </c>
      <c r="G38" s="560">
        <f t="shared" si="2"/>
        <v>0</v>
      </c>
      <c r="H38" s="561">
        <f t="shared" si="3"/>
        <v>0</v>
      </c>
      <c r="I38" s="736"/>
      <c r="J38" s="736"/>
      <c r="L38" s="752" t="s">
        <v>47</v>
      </c>
      <c r="M38" s="1064">
        <v>1057572</v>
      </c>
      <c r="N38" s="316">
        <f t="shared" si="0"/>
        <v>846057.60000000009</v>
      </c>
      <c r="O38" s="316">
        <f t="shared" si="1"/>
        <v>211514.40000000002</v>
      </c>
    </row>
    <row r="39" spans="1:16" ht="15.75" customHeight="1" x14ac:dyDescent="0.2">
      <c r="A39" s="800"/>
      <c r="B39" s="730"/>
      <c r="C39" s="731" t="s">
        <v>34</v>
      </c>
      <c r="D39" s="762">
        <f>+D40+D45+D47+D56+D65+D73</f>
        <v>5700583.2000000002</v>
      </c>
      <c r="E39" s="763"/>
      <c r="F39" s="763"/>
      <c r="G39" s="762">
        <f>+G40+G45+G47+G56+G65+G73</f>
        <v>1278750</v>
      </c>
      <c r="H39" s="762">
        <f>+H40+H45+H47+H56+H65+H73</f>
        <v>6979333.2000000002</v>
      </c>
      <c r="I39" s="736"/>
      <c r="J39" s="736"/>
      <c r="L39" s="752" t="s">
        <v>211</v>
      </c>
      <c r="M39" s="1064">
        <v>126909</v>
      </c>
      <c r="N39" s="316">
        <f t="shared" si="0"/>
        <v>101527.20000000001</v>
      </c>
      <c r="O39" s="316">
        <f t="shared" si="1"/>
        <v>25381.800000000003</v>
      </c>
    </row>
    <row r="40" spans="1:16" ht="12.75" customHeight="1" x14ac:dyDescent="0.2">
      <c r="A40" s="800"/>
      <c r="B40" s="739"/>
      <c r="C40" s="740" t="s">
        <v>35</v>
      </c>
      <c r="D40" s="741">
        <f>SUM(D41:D44)</f>
        <v>352391.2</v>
      </c>
      <c r="E40" s="742"/>
      <c r="F40" s="742"/>
      <c r="G40" s="741">
        <f>SUM(G41:G44)</f>
        <v>314030</v>
      </c>
      <c r="H40" s="741">
        <f>SUM(H41:H44)</f>
        <v>666421.19999999995</v>
      </c>
      <c r="I40" s="671"/>
      <c r="J40" s="671"/>
      <c r="L40" s="752" t="s">
        <v>49</v>
      </c>
      <c r="M40" s="1064">
        <v>0</v>
      </c>
      <c r="N40" s="316">
        <f t="shared" si="0"/>
        <v>0</v>
      </c>
      <c r="O40" s="316">
        <f t="shared" si="1"/>
        <v>0</v>
      </c>
    </row>
    <row r="41" spans="1:16" ht="12.75" customHeight="1" x14ac:dyDescent="0.2">
      <c r="A41" s="800"/>
      <c r="B41" s="747">
        <v>53202020100000</v>
      </c>
      <c r="C41" s="748" t="s">
        <v>181</v>
      </c>
      <c r="D41" s="343">
        <v>0</v>
      </c>
      <c r="E41" s="344">
        <v>25325</v>
      </c>
      <c r="F41" s="668">
        <v>10</v>
      </c>
      <c r="G41" s="560">
        <f>E41*F41</f>
        <v>253250</v>
      </c>
      <c r="H41" s="561">
        <f t="shared" ref="H41:H74" si="5">D41+G41</f>
        <v>253250</v>
      </c>
      <c r="I41" s="671" t="s">
        <v>401</v>
      </c>
      <c r="J41" s="671"/>
      <c r="L41" s="752" t="s">
        <v>50</v>
      </c>
      <c r="M41" s="1064">
        <v>2400000</v>
      </c>
      <c r="N41" s="316">
        <f t="shared" si="0"/>
        <v>1920000</v>
      </c>
      <c r="O41" s="316">
        <f t="shared" si="1"/>
        <v>480000</v>
      </c>
      <c r="P41" s="671" t="s">
        <v>414</v>
      </c>
    </row>
    <row r="42" spans="1:16" ht="12.75" customHeight="1" x14ac:dyDescent="0.2">
      <c r="A42" s="800"/>
      <c r="B42" s="747">
        <v>53202030000000</v>
      </c>
      <c r="C42" s="748" t="s">
        <v>182</v>
      </c>
      <c r="D42" s="343">
        <v>0</v>
      </c>
      <c r="E42" s="344">
        <v>30390</v>
      </c>
      <c r="F42" s="414">
        <v>2</v>
      </c>
      <c r="G42" s="560">
        <f t="shared" ref="G42:G74" si="6">E42*F42</f>
        <v>60780</v>
      </c>
      <c r="H42" s="561">
        <f t="shared" si="5"/>
        <v>60780</v>
      </c>
      <c r="I42" s="671"/>
      <c r="J42" s="671"/>
      <c r="L42" s="752" t="s">
        <v>51</v>
      </c>
      <c r="M42" s="1064">
        <v>264933</v>
      </c>
      <c r="N42" s="316">
        <f t="shared" si="0"/>
        <v>211946.40000000002</v>
      </c>
      <c r="O42" s="316">
        <f t="shared" si="1"/>
        <v>52986.600000000006</v>
      </c>
    </row>
    <row r="43" spans="1:16" ht="12.75" customHeight="1" x14ac:dyDescent="0.2">
      <c r="A43" s="800"/>
      <c r="B43" s="747">
        <v>53211020000000</v>
      </c>
      <c r="C43" s="748" t="s">
        <v>41</v>
      </c>
      <c r="D43" s="764">
        <f>N33</f>
        <v>208000</v>
      </c>
      <c r="E43" s="764">
        <v>0</v>
      </c>
      <c r="F43" s="765">
        <v>0</v>
      </c>
      <c r="G43" s="560">
        <f t="shared" si="6"/>
        <v>0</v>
      </c>
      <c r="H43" s="561">
        <f t="shared" si="5"/>
        <v>208000</v>
      </c>
      <c r="J43" s="671"/>
      <c r="L43" s="752" t="s">
        <v>52</v>
      </c>
      <c r="M43" s="1063">
        <v>0</v>
      </c>
      <c r="N43" s="316">
        <f t="shared" si="0"/>
        <v>0</v>
      </c>
      <c r="O43" s="316">
        <f t="shared" si="1"/>
        <v>0</v>
      </c>
      <c r="P43" s="671" t="s">
        <v>443</v>
      </c>
    </row>
    <row r="44" spans="1:16" ht="12.75" customHeight="1" x14ac:dyDescent="0.2">
      <c r="A44" s="800"/>
      <c r="B44" s="747">
        <v>53101040600000</v>
      </c>
      <c r="C44" s="748" t="s">
        <v>183</v>
      </c>
      <c r="D44" s="764">
        <f>N34</f>
        <v>144391.20000000001</v>
      </c>
      <c r="E44" s="764">
        <v>0</v>
      </c>
      <c r="F44" s="765">
        <v>0</v>
      </c>
      <c r="G44" s="560">
        <f t="shared" si="6"/>
        <v>0</v>
      </c>
      <c r="H44" s="561">
        <f t="shared" si="5"/>
        <v>144391.20000000001</v>
      </c>
      <c r="I44" s="671"/>
      <c r="J44" s="671"/>
      <c r="L44" s="751" t="s">
        <v>184</v>
      </c>
      <c r="M44" s="1063">
        <v>109987</v>
      </c>
      <c r="N44" s="316">
        <f t="shared" si="0"/>
        <v>87989.6</v>
      </c>
      <c r="O44" s="316">
        <f t="shared" si="1"/>
        <v>21997.4</v>
      </c>
    </row>
    <row r="45" spans="1:16" ht="12.75" customHeight="1" x14ac:dyDescent="0.2">
      <c r="A45" s="800"/>
      <c r="B45" s="739"/>
      <c r="C45" s="740" t="s">
        <v>42</v>
      </c>
      <c r="D45" s="741">
        <f>SUM(D46:D46)</f>
        <v>0</v>
      </c>
      <c r="E45" s="742"/>
      <c r="F45" s="742"/>
      <c r="G45" s="766">
        <f>SUM(G46:G46)</f>
        <v>0</v>
      </c>
      <c r="H45" s="767">
        <f>SUM(H46:H46)</f>
        <v>0</v>
      </c>
      <c r="I45" s="736"/>
      <c r="J45" s="736"/>
      <c r="L45" s="752" t="s">
        <v>176</v>
      </c>
      <c r="M45" s="1064">
        <v>455850</v>
      </c>
      <c r="N45" s="316">
        <f t="shared" si="0"/>
        <v>364680</v>
      </c>
      <c r="O45" s="316">
        <f t="shared" si="1"/>
        <v>91170</v>
      </c>
    </row>
    <row r="46" spans="1:16" ht="12.75" customHeight="1" x14ac:dyDescent="0.2">
      <c r="A46" s="800"/>
      <c r="B46" s="768">
        <v>53205990000000</v>
      </c>
      <c r="C46" s="748" t="s">
        <v>44</v>
      </c>
      <c r="D46" s="764">
        <f>N36</f>
        <v>0</v>
      </c>
      <c r="E46" s="764">
        <v>0</v>
      </c>
      <c r="F46" s="765">
        <v>0</v>
      </c>
      <c r="G46" s="560">
        <f t="shared" si="6"/>
        <v>0</v>
      </c>
      <c r="H46" s="561">
        <f t="shared" si="5"/>
        <v>0</v>
      </c>
      <c r="I46" s="736"/>
      <c r="J46" s="736"/>
      <c r="L46" s="740" t="s">
        <v>55</v>
      </c>
      <c r="M46" s="740"/>
      <c r="N46" s="761"/>
      <c r="O46" s="761"/>
    </row>
    <row r="47" spans="1:16" ht="12.75" customHeight="1" x14ac:dyDescent="0.2">
      <c r="A47" s="800"/>
      <c r="B47" s="739"/>
      <c r="C47" s="740" t="s">
        <v>45</v>
      </c>
      <c r="D47" s="741">
        <f>SUM(D48:D55)</f>
        <v>3532200.8</v>
      </c>
      <c r="E47" s="742"/>
      <c r="F47" s="742"/>
      <c r="G47" s="741">
        <f>SUM(G48:G55)</f>
        <v>0</v>
      </c>
      <c r="H47" s="744">
        <f>SUM(H48:H55)</f>
        <v>3532200.8</v>
      </c>
      <c r="I47" s="736"/>
      <c r="J47" s="736"/>
      <c r="L47" s="752" t="s">
        <v>56</v>
      </c>
      <c r="M47" s="1064">
        <v>0</v>
      </c>
      <c r="N47" s="316">
        <f t="shared" si="0"/>
        <v>0</v>
      </c>
      <c r="O47" s="316">
        <f t="shared" si="1"/>
        <v>0</v>
      </c>
    </row>
    <row r="48" spans="1:16" ht="12.75" customHeight="1" x14ac:dyDescent="0.2">
      <c r="A48" s="800"/>
      <c r="B48" s="747">
        <v>53204010000000</v>
      </c>
      <c r="C48" s="748" t="s">
        <v>47</v>
      </c>
      <c r="D48" s="764">
        <f t="shared" ref="D48:D55" si="7">N38</f>
        <v>846057.60000000009</v>
      </c>
      <c r="E48" s="764">
        <v>0</v>
      </c>
      <c r="F48" s="765">
        <v>0</v>
      </c>
      <c r="G48" s="764">
        <f t="shared" si="6"/>
        <v>0</v>
      </c>
      <c r="H48" s="561">
        <f t="shared" si="5"/>
        <v>846057.60000000009</v>
      </c>
      <c r="I48" s="736"/>
      <c r="J48" s="736"/>
      <c r="L48" s="752" t="s">
        <v>57</v>
      </c>
      <c r="M48" s="1064">
        <v>0</v>
      </c>
      <c r="N48" s="316">
        <f t="shared" si="0"/>
        <v>0</v>
      </c>
      <c r="O48" s="316">
        <f t="shared" si="1"/>
        <v>0</v>
      </c>
    </row>
    <row r="49" spans="1:23" ht="12.75" customHeight="1" x14ac:dyDescent="0.2">
      <c r="A49" s="800"/>
      <c r="B49" s="768">
        <v>53204040200000</v>
      </c>
      <c r="C49" s="748" t="s">
        <v>211</v>
      </c>
      <c r="D49" s="764">
        <f t="shared" si="7"/>
        <v>101527.20000000001</v>
      </c>
      <c r="E49" s="764">
        <v>0</v>
      </c>
      <c r="F49" s="765">
        <v>0</v>
      </c>
      <c r="G49" s="764">
        <f t="shared" si="6"/>
        <v>0</v>
      </c>
      <c r="H49" s="561">
        <f t="shared" si="5"/>
        <v>101527.20000000001</v>
      </c>
      <c r="I49" s="736"/>
      <c r="J49" s="736"/>
      <c r="L49" s="752" t="s">
        <v>167</v>
      </c>
      <c r="M49" s="1064"/>
      <c r="N49" s="316">
        <f t="shared" si="0"/>
        <v>0</v>
      </c>
      <c r="O49" s="316">
        <f t="shared" si="1"/>
        <v>0</v>
      </c>
    </row>
    <row r="50" spans="1:23" ht="12.75" customHeight="1" x14ac:dyDescent="0.2">
      <c r="A50" s="800"/>
      <c r="B50" s="747">
        <v>53204060000000</v>
      </c>
      <c r="C50" s="748" t="s">
        <v>49</v>
      </c>
      <c r="D50" s="764">
        <f t="shared" si="7"/>
        <v>0</v>
      </c>
      <c r="E50" s="764">
        <v>0</v>
      </c>
      <c r="F50" s="765">
        <v>0</v>
      </c>
      <c r="G50" s="764">
        <f t="shared" si="6"/>
        <v>0</v>
      </c>
      <c r="H50" s="561">
        <f t="shared" si="5"/>
        <v>0</v>
      </c>
      <c r="I50" s="736"/>
      <c r="J50" s="736"/>
      <c r="L50" s="752" t="s">
        <v>185</v>
      </c>
      <c r="M50" s="1064">
        <v>380726</v>
      </c>
      <c r="N50" s="316">
        <f t="shared" si="0"/>
        <v>304580.8</v>
      </c>
      <c r="O50" s="316">
        <f t="shared" si="1"/>
        <v>76145.2</v>
      </c>
    </row>
    <row r="51" spans="1:23" ht="12.75" customHeight="1" x14ac:dyDescent="0.2">
      <c r="A51" s="800"/>
      <c r="B51" s="747">
        <v>53204070000000</v>
      </c>
      <c r="C51" s="748" t="s">
        <v>50</v>
      </c>
      <c r="D51" s="764">
        <f t="shared" si="7"/>
        <v>1920000</v>
      </c>
      <c r="E51" s="764">
        <v>0</v>
      </c>
      <c r="F51" s="765">
        <v>0</v>
      </c>
      <c r="G51" s="764">
        <f t="shared" si="6"/>
        <v>0</v>
      </c>
      <c r="H51" s="561">
        <f t="shared" si="5"/>
        <v>1920000</v>
      </c>
      <c r="I51" s="736"/>
      <c r="J51" s="736"/>
      <c r="L51" s="752" t="s">
        <v>188</v>
      </c>
      <c r="M51" s="1064">
        <v>0</v>
      </c>
      <c r="N51" s="316">
        <f t="shared" si="0"/>
        <v>0</v>
      </c>
      <c r="O51" s="316">
        <f t="shared" si="1"/>
        <v>0</v>
      </c>
    </row>
    <row r="52" spans="1:23" ht="12.75" customHeight="1" x14ac:dyDescent="0.2">
      <c r="A52" s="800"/>
      <c r="B52" s="747">
        <v>53204080000000</v>
      </c>
      <c r="C52" s="748" t="s">
        <v>51</v>
      </c>
      <c r="D52" s="764">
        <f t="shared" si="7"/>
        <v>211946.40000000002</v>
      </c>
      <c r="E52" s="764">
        <v>0</v>
      </c>
      <c r="F52" s="765">
        <v>0</v>
      </c>
      <c r="G52" s="764">
        <f t="shared" si="6"/>
        <v>0</v>
      </c>
      <c r="H52" s="561">
        <f t="shared" si="5"/>
        <v>211946.40000000002</v>
      </c>
      <c r="I52" s="736"/>
      <c r="J52" s="736"/>
      <c r="L52" s="752" t="s">
        <v>186</v>
      </c>
      <c r="M52" s="1064">
        <v>151950</v>
      </c>
      <c r="N52" s="316">
        <f t="shared" si="0"/>
        <v>121560</v>
      </c>
      <c r="O52" s="316">
        <f t="shared" si="1"/>
        <v>30390</v>
      </c>
      <c r="P52" s="671" t="s">
        <v>407</v>
      </c>
    </row>
    <row r="53" spans="1:23" ht="12.75" customHeight="1" x14ac:dyDescent="0.2">
      <c r="A53" s="800"/>
      <c r="B53" s="747">
        <v>53214010000000</v>
      </c>
      <c r="C53" s="748" t="s">
        <v>52</v>
      </c>
      <c r="D53" s="769">
        <f t="shared" si="7"/>
        <v>0</v>
      </c>
      <c r="E53" s="769">
        <v>0</v>
      </c>
      <c r="F53" s="765">
        <v>0</v>
      </c>
      <c r="G53" s="764">
        <f t="shared" si="6"/>
        <v>0</v>
      </c>
      <c r="H53" s="561">
        <f t="shared" si="5"/>
        <v>0</v>
      </c>
      <c r="I53" s="736"/>
      <c r="J53" s="736"/>
      <c r="L53" s="752" t="s">
        <v>64</v>
      </c>
      <c r="M53" s="1064">
        <v>1277213</v>
      </c>
      <c r="N53" s="316">
        <f t="shared" si="0"/>
        <v>1021770.4</v>
      </c>
      <c r="O53" s="316">
        <f t="shared" si="1"/>
        <v>255442.6</v>
      </c>
    </row>
    <row r="54" spans="1:23" ht="12.75" customHeight="1" x14ac:dyDescent="0.2">
      <c r="A54" s="800"/>
      <c r="B54" s="747">
        <v>53214040000000</v>
      </c>
      <c r="C54" s="748" t="s">
        <v>184</v>
      </c>
      <c r="D54" s="769">
        <f t="shared" si="7"/>
        <v>87989.6</v>
      </c>
      <c r="E54" s="769">
        <v>0</v>
      </c>
      <c r="F54" s="765">
        <v>0</v>
      </c>
      <c r="G54" s="764">
        <f t="shared" si="6"/>
        <v>0</v>
      </c>
      <c r="H54" s="561">
        <f t="shared" si="5"/>
        <v>87989.6</v>
      </c>
      <c r="I54" s="736"/>
      <c r="J54" s="736"/>
      <c r="L54" s="740" t="s">
        <v>65</v>
      </c>
      <c r="M54" s="761"/>
      <c r="N54" s="761"/>
      <c r="O54" s="761"/>
    </row>
    <row r="55" spans="1:23" ht="12.75" customHeight="1" x14ac:dyDescent="0.2">
      <c r="A55" s="800"/>
      <c r="B55" s="753">
        <v>53204020100000</v>
      </c>
      <c r="C55" s="748" t="s">
        <v>176</v>
      </c>
      <c r="D55" s="764">
        <f t="shared" si="7"/>
        <v>364680</v>
      </c>
      <c r="E55" s="764">
        <v>0</v>
      </c>
      <c r="F55" s="765">
        <v>0</v>
      </c>
      <c r="G55" s="764">
        <f t="shared" si="6"/>
        <v>0</v>
      </c>
      <c r="H55" s="561">
        <f t="shared" si="5"/>
        <v>364680</v>
      </c>
      <c r="I55" s="736"/>
      <c r="J55" s="736"/>
      <c r="L55" s="752" t="s">
        <v>99</v>
      </c>
      <c r="M55" s="1065">
        <v>0</v>
      </c>
      <c r="N55" s="677">
        <f t="shared" si="0"/>
        <v>0</v>
      </c>
      <c r="O55" s="677">
        <f t="shared" si="1"/>
        <v>0</v>
      </c>
      <c r="P55" s="678" t="s">
        <v>443</v>
      </c>
      <c r="Q55" s="671"/>
      <c r="R55" s="671"/>
      <c r="S55" s="671"/>
      <c r="T55" s="671"/>
      <c r="U55" s="671" t="s">
        <v>404</v>
      </c>
      <c r="V55" s="673">
        <f>22*17000</f>
        <v>374000</v>
      </c>
      <c r="W55" s="671"/>
    </row>
    <row r="56" spans="1:23" ht="12.75" customHeight="1" x14ac:dyDescent="0.2">
      <c r="A56" s="800"/>
      <c r="B56" s="739"/>
      <c r="C56" s="740" t="s">
        <v>55</v>
      </c>
      <c r="D56" s="741">
        <f>SUM(D57:D64)</f>
        <v>1447911.2</v>
      </c>
      <c r="E56" s="742"/>
      <c r="F56" s="742"/>
      <c r="G56" s="741">
        <f>SUM(G57:G64)</f>
        <v>468720</v>
      </c>
      <c r="H56" s="744">
        <f>SUM(H57:H64)</f>
        <v>1916631.2000000002</v>
      </c>
      <c r="I56" s="736"/>
      <c r="J56" s="736"/>
      <c r="L56" s="752" t="s">
        <v>100</v>
      </c>
      <c r="M56" s="1064">
        <v>0</v>
      </c>
      <c r="N56" s="316">
        <f t="shared" si="0"/>
        <v>0</v>
      </c>
      <c r="O56" s="316">
        <f t="shared" si="1"/>
        <v>0</v>
      </c>
      <c r="Q56" s="671"/>
      <c r="R56" s="671"/>
      <c r="S56" s="671"/>
      <c r="T56" s="671"/>
      <c r="U56" s="671" t="s">
        <v>405</v>
      </c>
      <c r="V56" s="673">
        <f>5*20000</f>
        <v>100000</v>
      </c>
      <c r="W56" s="671"/>
    </row>
    <row r="57" spans="1:23" ht="12.75" customHeight="1" x14ac:dyDescent="0.2">
      <c r="A57" s="800"/>
      <c r="B57" s="747">
        <v>53207010000000</v>
      </c>
      <c r="C57" s="748" t="s">
        <v>56</v>
      </c>
      <c r="D57" s="764">
        <f>N47</f>
        <v>0</v>
      </c>
      <c r="E57" s="764">
        <v>0</v>
      </c>
      <c r="F57" s="765">
        <v>0</v>
      </c>
      <c r="G57" s="764">
        <f t="shared" si="6"/>
        <v>0</v>
      </c>
      <c r="H57" s="561">
        <f t="shared" si="5"/>
        <v>0</v>
      </c>
      <c r="I57" s="736"/>
      <c r="J57" s="736"/>
      <c r="L57" s="752" t="s">
        <v>189</v>
      </c>
      <c r="M57" s="1064">
        <v>380100</v>
      </c>
      <c r="N57" s="316">
        <f t="shared" si="0"/>
        <v>304080</v>
      </c>
      <c r="O57" s="316">
        <f t="shared" si="1"/>
        <v>76020</v>
      </c>
      <c r="Q57" s="671"/>
      <c r="R57" s="671"/>
      <c r="S57" s="671"/>
      <c r="T57" s="671"/>
      <c r="U57" s="671" t="s">
        <v>406</v>
      </c>
      <c r="V57" s="671">
        <v>121560</v>
      </c>
      <c r="W57" s="671"/>
    </row>
    <row r="58" spans="1:23" ht="12.75" customHeight="1" x14ac:dyDescent="0.2">
      <c r="A58" s="800"/>
      <c r="B58" s="747">
        <v>53207020000000</v>
      </c>
      <c r="C58" s="748" t="s">
        <v>57</v>
      </c>
      <c r="D58" s="764">
        <f>N48</f>
        <v>0</v>
      </c>
      <c r="E58" s="764">
        <v>0</v>
      </c>
      <c r="F58" s="765">
        <v>0</v>
      </c>
      <c r="G58" s="764">
        <f t="shared" si="6"/>
        <v>0</v>
      </c>
      <c r="H58" s="561">
        <f t="shared" si="5"/>
        <v>0</v>
      </c>
      <c r="I58" s="736"/>
      <c r="J58" s="736"/>
      <c r="L58" s="752" t="s">
        <v>102</v>
      </c>
      <c r="M58" s="1064">
        <v>80000</v>
      </c>
      <c r="N58" s="316">
        <f t="shared" si="0"/>
        <v>64000</v>
      </c>
      <c r="O58" s="316">
        <f t="shared" si="1"/>
        <v>16000</v>
      </c>
      <c r="V58" s="676">
        <f>SUM(V55:V57)</f>
        <v>595560</v>
      </c>
    </row>
    <row r="59" spans="1:23" ht="12.75" customHeight="1" x14ac:dyDescent="0.2">
      <c r="A59" s="800"/>
      <c r="B59" s="747">
        <v>53208020000000</v>
      </c>
      <c r="C59" s="748" t="s">
        <v>167</v>
      </c>
      <c r="D59" s="764">
        <f>N49</f>
        <v>0</v>
      </c>
      <c r="E59" s="764">
        <v>0</v>
      </c>
      <c r="F59" s="765">
        <v>0</v>
      </c>
      <c r="G59" s="764">
        <f t="shared" si="6"/>
        <v>0</v>
      </c>
      <c r="H59" s="561">
        <f t="shared" si="5"/>
        <v>0</v>
      </c>
      <c r="I59" s="736"/>
      <c r="J59" s="736"/>
      <c r="L59" s="751" t="s">
        <v>190</v>
      </c>
      <c r="M59" s="1064">
        <v>0</v>
      </c>
      <c r="N59" s="316">
        <f t="shared" si="0"/>
        <v>0</v>
      </c>
      <c r="O59" s="316">
        <f t="shared" si="1"/>
        <v>0</v>
      </c>
      <c r="P59" s="671" t="s">
        <v>448</v>
      </c>
    </row>
    <row r="60" spans="1:23" ht="12.75" customHeight="1" x14ac:dyDescent="0.2">
      <c r="A60" s="800"/>
      <c r="B60" s="747">
        <v>53208990000000</v>
      </c>
      <c r="C60" s="748" t="s">
        <v>185</v>
      </c>
      <c r="D60" s="764">
        <f>N50</f>
        <v>304580.8</v>
      </c>
      <c r="E60" s="764">
        <v>0</v>
      </c>
      <c r="F60" s="765">
        <v>0</v>
      </c>
      <c r="G60" s="764">
        <f t="shared" si="6"/>
        <v>0</v>
      </c>
      <c r="H60" s="561">
        <f t="shared" si="5"/>
        <v>304580.8</v>
      </c>
      <c r="I60" s="736"/>
      <c r="J60" s="736"/>
      <c r="L60" s="752" t="s">
        <v>104</v>
      </c>
      <c r="M60" s="1064">
        <v>0</v>
      </c>
      <c r="N60" s="316">
        <f t="shared" si="0"/>
        <v>0</v>
      </c>
      <c r="O60" s="316">
        <f t="shared" si="1"/>
        <v>0</v>
      </c>
    </row>
    <row r="61" spans="1:23" ht="12.75" customHeight="1" x14ac:dyDescent="0.2">
      <c r="A61" s="800"/>
      <c r="B61" s="753">
        <v>53210020300000</v>
      </c>
      <c r="C61" s="748" t="s">
        <v>187</v>
      </c>
      <c r="D61" s="558">
        <v>0</v>
      </c>
      <c r="E61" s="558">
        <v>7560</v>
      </c>
      <c r="F61" s="559">
        <f>+'B) Reajuste Tarifas y Ocupación'!I25</f>
        <v>62</v>
      </c>
      <c r="G61" s="560">
        <f t="shared" si="6"/>
        <v>468720</v>
      </c>
      <c r="H61" s="561">
        <f t="shared" si="5"/>
        <v>468720</v>
      </c>
      <c r="I61" s="736"/>
      <c r="J61" s="736"/>
      <c r="L61" s="752" t="s">
        <v>212</v>
      </c>
      <c r="M61" s="1065">
        <v>0</v>
      </c>
      <c r="N61" s="677">
        <f t="shared" si="0"/>
        <v>0</v>
      </c>
      <c r="O61" s="677">
        <f t="shared" si="1"/>
        <v>0</v>
      </c>
      <c r="P61" s="671" t="s">
        <v>415</v>
      </c>
    </row>
    <row r="62" spans="1:23" ht="12.75" customHeight="1" thickBot="1" x14ac:dyDescent="0.25">
      <c r="A62" s="800"/>
      <c r="B62" s="747">
        <v>53208990000000</v>
      </c>
      <c r="C62" s="748" t="s">
        <v>188</v>
      </c>
      <c r="D62" s="560">
        <f>N51</f>
        <v>0</v>
      </c>
      <c r="E62" s="560">
        <v>0</v>
      </c>
      <c r="F62" s="562">
        <v>0</v>
      </c>
      <c r="G62" s="560">
        <f t="shared" si="6"/>
        <v>0</v>
      </c>
      <c r="H62" s="561">
        <f t="shared" si="5"/>
        <v>0</v>
      </c>
      <c r="I62" s="736"/>
      <c r="J62" s="736"/>
    </row>
    <row r="63" spans="1:23" ht="12.75" customHeight="1" thickBot="1" x14ac:dyDescent="0.25">
      <c r="A63" s="800"/>
      <c r="B63" s="747">
        <v>53209990000000</v>
      </c>
      <c r="C63" s="748" t="s">
        <v>186</v>
      </c>
      <c r="D63" s="560">
        <f>N52</f>
        <v>121560</v>
      </c>
      <c r="E63" s="560">
        <v>0</v>
      </c>
      <c r="F63" s="562">
        <v>0</v>
      </c>
      <c r="G63" s="560">
        <f t="shared" si="6"/>
        <v>0</v>
      </c>
      <c r="H63" s="561">
        <f t="shared" si="5"/>
        <v>121560</v>
      </c>
      <c r="I63" s="736"/>
      <c r="J63" s="736"/>
      <c r="L63" s="669" t="s">
        <v>402</v>
      </c>
      <c r="M63" s="670">
        <f>SUM(M55:M61)</f>
        <v>460100</v>
      </c>
    </row>
    <row r="64" spans="1:23" ht="12.75" customHeight="1" x14ac:dyDescent="0.2">
      <c r="A64" s="800"/>
      <c r="B64" s="747">
        <v>53210020100000</v>
      </c>
      <c r="C64" s="748" t="s">
        <v>64</v>
      </c>
      <c r="D64" s="560">
        <f>N53</f>
        <v>1021770.4</v>
      </c>
      <c r="E64" s="560">
        <v>0</v>
      </c>
      <c r="F64" s="562">
        <v>0</v>
      </c>
      <c r="G64" s="560">
        <f t="shared" si="6"/>
        <v>0</v>
      </c>
      <c r="H64" s="561">
        <f t="shared" si="5"/>
        <v>1021770.4</v>
      </c>
      <c r="I64" s="736"/>
      <c r="J64" s="736"/>
    </row>
    <row r="65" spans="1:11" ht="12.75" customHeight="1" x14ac:dyDescent="0.2">
      <c r="A65" s="800"/>
      <c r="B65" s="739"/>
      <c r="C65" s="740" t="s">
        <v>65</v>
      </c>
      <c r="D65" s="741">
        <f>SUM(D66:D72)</f>
        <v>368080</v>
      </c>
      <c r="E65" s="742"/>
      <c r="F65" s="742"/>
      <c r="G65" s="741">
        <f>SUM(G66:G72)</f>
        <v>0</v>
      </c>
      <c r="H65" s="744">
        <f>SUM(H66:H72)</f>
        <v>368080</v>
      </c>
      <c r="I65" s="736"/>
      <c r="J65" s="736"/>
    </row>
    <row r="66" spans="1:11" ht="12.75" customHeight="1" x14ac:dyDescent="0.2">
      <c r="A66" s="800"/>
      <c r="B66" s="747">
        <v>53206030000000</v>
      </c>
      <c r="C66" s="748" t="s">
        <v>99</v>
      </c>
      <c r="D66" s="764">
        <f t="shared" ref="D66:D72" si="8">N55</f>
        <v>0</v>
      </c>
      <c r="E66" s="764">
        <v>0</v>
      </c>
      <c r="F66" s="765">
        <v>0</v>
      </c>
      <c r="G66" s="560">
        <f t="shared" si="6"/>
        <v>0</v>
      </c>
      <c r="H66" s="561">
        <f t="shared" si="5"/>
        <v>0</v>
      </c>
      <c r="I66" s="736"/>
      <c r="J66" s="736"/>
    </row>
    <row r="67" spans="1:11" ht="12.75" customHeight="1" x14ac:dyDescent="0.2">
      <c r="A67" s="800"/>
      <c r="B67" s="747">
        <v>53206040000000</v>
      </c>
      <c r="C67" s="748" t="s">
        <v>100</v>
      </c>
      <c r="D67" s="764">
        <f t="shared" si="8"/>
        <v>0</v>
      </c>
      <c r="E67" s="764">
        <v>0</v>
      </c>
      <c r="F67" s="765">
        <v>0</v>
      </c>
      <c r="G67" s="560">
        <f t="shared" si="6"/>
        <v>0</v>
      </c>
      <c r="H67" s="561">
        <f t="shared" si="5"/>
        <v>0</v>
      </c>
      <c r="I67" s="736"/>
      <c r="J67" s="736"/>
    </row>
    <row r="68" spans="1:11" ht="12.75" customHeight="1" x14ac:dyDescent="0.2">
      <c r="A68" s="800"/>
      <c r="B68" s="747">
        <v>53206060000000</v>
      </c>
      <c r="C68" s="748" t="s">
        <v>189</v>
      </c>
      <c r="D68" s="764">
        <f t="shared" si="8"/>
        <v>304080</v>
      </c>
      <c r="E68" s="764">
        <v>0</v>
      </c>
      <c r="F68" s="765">
        <v>0</v>
      </c>
      <c r="G68" s="560">
        <f t="shared" si="6"/>
        <v>0</v>
      </c>
      <c r="H68" s="561">
        <f t="shared" si="5"/>
        <v>304080</v>
      </c>
      <c r="I68" s="736"/>
      <c r="J68" s="736"/>
    </row>
    <row r="69" spans="1:11" ht="12.75" customHeight="1" x14ac:dyDescent="0.2">
      <c r="A69" s="800"/>
      <c r="B69" s="747">
        <v>53206070000000</v>
      </c>
      <c r="C69" s="748" t="s">
        <v>102</v>
      </c>
      <c r="D69" s="764">
        <f t="shared" si="8"/>
        <v>64000</v>
      </c>
      <c r="E69" s="764">
        <v>0</v>
      </c>
      <c r="F69" s="765">
        <v>0</v>
      </c>
      <c r="G69" s="560">
        <f t="shared" si="6"/>
        <v>0</v>
      </c>
      <c r="H69" s="561">
        <f t="shared" si="5"/>
        <v>64000</v>
      </c>
      <c r="I69" s="736"/>
      <c r="J69" s="736"/>
    </row>
    <row r="70" spans="1:11" ht="12.75" customHeight="1" x14ac:dyDescent="0.2">
      <c r="A70" s="800"/>
      <c r="B70" s="747">
        <v>53206990000000</v>
      </c>
      <c r="C70" s="748" t="s">
        <v>190</v>
      </c>
      <c r="D70" s="764">
        <f t="shared" si="8"/>
        <v>0</v>
      </c>
      <c r="E70" s="764">
        <v>0</v>
      </c>
      <c r="F70" s="765">
        <v>0</v>
      </c>
      <c r="G70" s="560">
        <f t="shared" si="6"/>
        <v>0</v>
      </c>
      <c r="H70" s="561">
        <f t="shared" si="5"/>
        <v>0</v>
      </c>
      <c r="I70" s="736"/>
      <c r="J70" s="736"/>
    </row>
    <row r="71" spans="1:11" ht="12.75" customHeight="1" x14ac:dyDescent="0.2">
      <c r="A71" s="800"/>
      <c r="B71" s="747">
        <v>53208030000000</v>
      </c>
      <c r="C71" s="748" t="s">
        <v>104</v>
      </c>
      <c r="D71" s="764">
        <f t="shared" si="8"/>
        <v>0</v>
      </c>
      <c r="E71" s="764">
        <v>0</v>
      </c>
      <c r="F71" s="765">
        <v>0</v>
      </c>
      <c r="G71" s="560">
        <f t="shared" si="6"/>
        <v>0</v>
      </c>
      <c r="H71" s="561">
        <f t="shared" si="5"/>
        <v>0</v>
      </c>
      <c r="I71" s="736"/>
      <c r="J71" s="736"/>
    </row>
    <row r="72" spans="1:11" ht="12.75" customHeight="1" x14ac:dyDescent="0.2">
      <c r="A72" s="800"/>
      <c r="B72" s="747">
        <v>53206990000000</v>
      </c>
      <c r="C72" s="748" t="s">
        <v>212</v>
      </c>
      <c r="D72" s="764">
        <f t="shared" si="8"/>
        <v>0</v>
      </c>
      <c r="E72" s="764">
        <v>0</v>
      </c>
      <c r="F72" s="765">
        <v>0</v>
      </c>
      <c r="G72" s="560">
        <f t="shared" si="6"/>
        <v>0</v>
      </c>
      <c r="H72" s="561">
        <f>D72+G72</f>
        <v>0</v>
      </c>
      <c r="I72" s="736"/>
      <c r="J72" s="736"/>
    </row>
    <row r="73" spans="1:11" ht="12.75" customHeight="1" x14ac:dyDescent="0.2">
      <c r="A73" s="800"/>
      <c r="B73" s="739"/>
      <c r="C73" s="740" t="s">
        <v>66</v>
      </c>
      <c r="D73" s="741">
        <f>SUM(D74:D74)</f>
        <v>0</v>
      </c>
      <c r="E73" s="742"/>
      <c r="F73" s="742"/>
      <c r="G73" s="741">
        <f>SUM(G74:G74)</f>
        <v>496000</v>
      </c>
      <c r="H73" s="744">
        <f>SUM(H74:H74)</f>
        <v>496000</v>
      </c>
      <c r="I73" s="736"/>
      <c r="J73" s="736"/>
    </row>
    <row r="74" spans="1:11" ht="12.75" customHeight="1" x14ac:dyDescent="0.2">
      <c r="A74" s="800"/>
      <c r="B74" s="770"/>
      <c r="C74" s="771" t="s">
        <v>213</v>
      </c>
      <c r="D74" s="343">
        <v>0</v>
      </c>
      <c r="E74" s="343">
        <v>8000</v>
      </c>
      <c r="F74" s="414">
        <v>62</v>
      </c>
      <c r="G74" s="560">
        <f t="shared" si="6"/>
        <v>496000</v>
      </c>
      <c r="H74" s="772">
        <f t="shared" si="5"/>
        <v>496000</v>
      </c>
      <c r="I74" s="687" t="s">
        <v>214</v>
      </c>
      <c r="J74" s="773">
        <f>+H72+H71+H70+H69+H68+H67+H66+H64+H63+H62+H61+H60+H59+H58+H57+H55+H52+H51+H50+H49+H48+H46+H44+H43+H37+H36+H35+H33+H32+H31+H30+H29+H28+H27+H26+H25+H24+H23</f>
        <v>11586765.6</v>
      </c>
      <c r="K74" s="3" t="s">
        <v>447</v>
      </c>
    </row>
    <row r="75" spans="1:11" ht="12.75" customHeight="1" collapsed="1" thickBot="1" x14ac:dyDescent="0.25">
      <c r="A75" s="801"/>
      <c r="B75" s="774"/>
      <c r="C75" s="775" t="s">
        <v>105</v>
      </c>
      <c r="D75" s="776">
        <f>SUM(D12,D39)</f>
        <v>52102699.902400002</v>
      </c>
      <c r="E75" s="777"/>
      <c r="F75" s="777"/>
      <c r="G75" s="776">
        <f>SUM(G12,G39)</f>
        <v>17297710</v>
      </c>
      <c r="H75" s="778">
        <f>SUM(H12,H39)</f>
        <v>69400409.902400002</v>
      </c>
      <c r="I75" s="686" t="s">
        <v>215</v>
      </c>
      <c r="J75" s="779">
        <f>+H75-J74</f>
        <v>57813644.3024</v>
      </c>
    </row>
    <row r="76" spans="1:11" ht="15.75" customHeight="1" x14ac:dyDescent="0.2">
      <c r="A76" s="878" t="s">
        <v>225</v>
      </c>
      <c r="B76" s="730"/>
      <c r="C76" s="731" t="s">
        <v>11</v>
      </c>
      <c r="D76" s="732">
        <f>SUM(D77+D82)</f>
        <v>29705114.4265984</v>
      </c>
      <c r="E76" s="733"/>
      <c r="F76" s="733"/>
      <c r="G76" s="734">
        <f>SUM(G77,G82)</f>
        <v>3857240</v>
      </c>
      <c r="H76" s="735">
        <f>SUM(H77,H82)</f>
        <v>33562354.4265984</v>
      </c>
      <c r="I76" s="736"/>
      <c r="J76" s="736"/>
    </row>
    <row r="77" spans="1:11" ht="12.75" customHeight="1" x14ac:dyDescent="0.2">
      <c r="A77" s="800"/>
      <c r="B77" s="739"/>
      <c r="C77" s="740" t="s">
        <v>12</v>
      </c>
      <c r="D77" s="741">
        <f>SUM(D78:D81)</f>
        <v>28284179.4265984</v>
      </c>
      <c r="E77" s="742"/>
      <c r="F77" s="742"/>
      <c r="G77" s="743">
        <f>SUM(G78:G81)</f>
        <v>0</v>
      </c>
      <c r="H77" s="744">
        <f>SUM(H78:H81)</f>
        <v>28284179.4265984</v>
      </c>
      <c r="I77" s="736"/>
      <c r="J77" s="736"/>
    </row>
    <row r="78" spans="1:11" ht="12.75" customHeight="1" x14ac:dyDescent="0.2">
      <c r="A78" s="800"/>
      <c r="B78" s="747">
        <v>53103040100000</v>
      </c>
      <c r="C78" s="748" t="s">
        <v>95</v>
      </c>
      <c r="D78" s="749">
        <f>+'F) Remuneraciones'!L22</f>
        <v>28284179.4265984</v>
      </c>
      <c r="E78" s="560">
        <v>0</v>
      </c>
      <c r="F78" s="750">
        <v>0</v>
      </c>
      <c r="G78" s="560">
        <v>0</v>
      </c>
      <c r="H78" s="561">
        <f>D78+G78</f>
        <v>28284179.4265984</v>
      </c>
      <c r="I78" s="736"/>
      <c r="J78" s="736"/>
    </row>
    <row r="79" spans="1:11" ht="12.75" customHeight="1" x14ac:dyDescent="0.2">
      <c r="A79" s="800"/>
      <c r="B79" s="747">
        <v>53103050000000</v>
      </c>
      <c r="C79" s="748" t="s">
        <v>168</v>
      </c>
      <c r="D79" s="343">
        <v>0</v>
      </c>
      <c r="E79" s="344">
        <v>0</v>
      </c>
      <c r="F79" s="345">
        <v>0</v>
      </c>
      <c r="G79" s="560">
        <f>E79*F79</f>
        <v>0</v>
      </c>
      <c r="H79" s="561">
        <f>D79+G79</f>
        <v>0</v>
      </c>
      <c r="I79" s="736"/>
      <c r="J79" s="736"/>
    </row>
    <row r="80" spans="1:11" ht="12.75" customHeight="1" x14ac:dyDescent="0.2">
      <c r="A80" s="800"/>
      <c r="B80" s="753">
        <v>53103040400000</v>
      </c>
      <c r="C80" s="754" t="s">
        <v>169</v>
      </c>
      <c r="D80" s="343">
        <v>0</v>
      </c>
      <c r="E80" s="344">
        <v>0</v>
      </c>
      <c r="F80" s="345">
        <v>0</v>
      </c>
      <c r="G80" s="560">
        <f>E80*F80</f>
        <v>0</v>
      </c>
      <c r="H80" s="561">
        <f>D80+G80</f>
        <v>0</v>
      </c>
      <c r="I80" s="736"/>
      <c r="J80" s="736"/>
    </row>
    <row r="81" spans="1:11" ht="12.75" customHeight="1" x14ac:dyDescent="0.2">
      <c r="A81" s="800"/>
      <c r="B81" s="747">
        <v>53103080010000</v>
      </c>
      <c r="C81" s="748" t="s">
        <v>170</v>
      </c>
      <c r="D81" s="343">
        <v>0</v>
      </c>
      <c r="E81" s="344">
        <v>0</v>
      </c>
      <c r="F81" s="345">
        <v>0</v>
      </c>
      <c r="G81" s="560">
        <f>E81*F81</f>
        <v>0</v>
      </c>
      <c r="H81" s="561">
        <f>D81+G81</f>
        <v>0</v>
      </c>
      <c r="I81" s="736"/>
      <c r="J81" s="736"/>
    </row>
    <row r="82" spans="1:11" ht="12.75" customHeight="1" x14ac:dyDescent="0.2">
      <c r="A82" s="800"/>
      <c r="B82" s="739"/>
      <c r="C82" s="740" t="s">
        <v>16</v>
      </c>
      <c r="D82" s="741">
        <f>SUM(D83:D102)</f>
        <v>1420935.0000000002</v>
      </c>
      <c r="E82" s="742"/>
      <c r="F82" s="742"/>
      <c r="G82" s="741">
        <f>SUM(G83:G102)</f>
        <v>3857240</v>
      </c>
      <c r="H82" s="744">
        <f>SUM(H83:H102)</f>
        <v>5278175</v>
      </c>
      <c r="I82" s="736"/>
      <c r="J82" s="736"/>
    </row>
    <row r="83" spans="1:11" ht="12.75" customHeight="1" x14ac:dyDescent="0.2">
      <c r="A83" s="800"/>
      <c r="B83" s="747">
        <v>53201010100000</v>
      </c>
      <c r="C83" s="756" t="s">
        <v>171</v>
      </c>
      <c r="D83" s="343">
        <v>0</v>
      </c>
      <c r="E83" s="344">
        <v>1821</v>
      </c>
      <c r="F83" s="345">
        <f>3*20*11</f>
        <v>660</v>
      </c>
      <c r="G83" s="560">
        <f t="shared" ref="G83:G102" si="9">E83*F83</f>
        <v>1201860</v>
      </c>
      <c r="H83" s="561">
        <f t="shared" ref="H83:H88" si="10">D83+G83</f>
        <v>1201860</v>
      </c>
      <c r="I83" s="671"/>
      <c r="J83" s="671"/>
      <c r="K83" s="671"/>
    </row>
    <row r="84" spans="1:11" ht="12.75" customHeight="1" x14ac:dyDescent="0.2">
      <c r="A84" s="800"/>
      <c r="B84" s="747">
        <v>53201010100000</v>
      </c>
      <c r="C84" s="756" t="s">
        <v>172</v>
      </c>
      <c r="D84" s="343">
        <v>0</v>
      </c>
      <c r="E84" s="344">
        <v>1058</v>
      </c>
      <c r="F84" s="647">
        <f>10*20*11</f>
        <v>2200</v>
      </c>
      <c r="G84" s="560">
        <f t="shared" si="9"/>
        <v>2327600</v>
      </c>
      <c r="H84" s="561">
        <f t="shared" si="10"/>
        <v>2327600</v>
      </c>
      <c r="I84" s="671" t="s">
        <v>442</v>
      </c>
      <c r="J84" s="671"/>
      <c r="K84" s="671"/>
    </row>
    <row r="85" spans="1:11" ht="12.75" customHeight="1" x14ac:dyDescent="0.2">
      <c r="A85" s="800"/>
      <c r="B85" s="747">
        <v>53201010100000</v>
      </c>
      <c r="C85" s="756" t="s">
        <v>173</v>
      </c>
      <c r="D85" s="343">
        <v>0</v>
      </c>
      <c r="E85" s="344">
        <v>1821</v>
      </c>
      <c r="F85" s="647">
        <f>20*9</f>
        <v>180</v>
      </c>
      <c r="G85" s="560">
        <f t="shared" si="9"/>
        <v>327780</v>
      </c>
      <c r="H85" s="561">
        <f t="shared" si="10"/>
        <v>327780</v>
      </c>
      <c r="I85" s="671" t="s">
        <v>446</v>
      </c>
      <c r="J85" s="671"/>
      <c r="K85" s="671"/>
    </row>
    <row r="86" spans="1:11" ht="12.75" customHeight="1" x14ac:dyDescent="0.2">
      <c r="A86" s="800"/>
      <c r="B86" s="747">
        <v>53202010100000</v>
      </c>
      <c r="C86" s="748" t="s">
        <v>174</v>
      </c>
      <c r="D86" s="560">
        <f>O14</f>
        <v>44572</v>
      </c>
      <c r="E86" s="560">
        <v>0</v>
      </c>
      <c r="F86" s="559">
        <v>0</v>
      </c>
      <c r="G86" s="560">
        <f t="shared" si="9"/>
        <v>0</v>
      </c>
      <c r="H86" s="561">
        <f t="shared" si="10"/>
        <v>44572</v>
      </c>
      <c r="I86" s="736"/>
      <c r="J86" s="736"/>
    </row>
    <row r="87" spans="1:11" ht="12.75" customHeight="1" x14ac:dyDescent="0.2">
      <c r="A87" s="800"/>
      <c r="B87" s="747">
        <v>53203010100000</v>
      </c>
      <c r="C87" s="748" t="s">
        <v>19</v>
      </c>
      <c r="D87" s="560">
        <f t="shared" ref="D87:D102" si="11">O15</f>
        <v>21151.4</v>
      </c>
      <c r="E87" s="560">
        <v>0</v>
      </c>
      <c r="F87" s="559">
        <v>0</v>
      </c>
      <c r="G87" s="560">
        <f t="shared" si="9"/>
        <v>0</v>
      </c>
      <c r="H87" s="561">
        <f t="shared" si="10"/>
        <v>21151.4</v>
      </c>
      <c r="I87" s="736"/>
      <c r="J87" s="736"/>
    </row>
    <row r="88" spans="1:11" ht="12.75" customHeight="1" x14ac:dyDescent="0.2">
      <c r="A88" s="800"/>
      <c r="B88" s="747">
        <v>53203030000000</v>
      </c>
      <c r="C88" s="748" t="s">
        <v>175</v>
      </c>
      <c r="D88" s="560">
        <f t="shared" si="11"/>
        <v>30390</v>
      </c>
      <c r="E88" s="560">
        <v>0</v>
      </c>
      <c r="F88" s="559">
        <v>0</v>
      </c>
      <c r="G88" s="560">
        <f t="shared" si="9"/>
        <v>0</v>
      </c>
      <c r="H88" s="561">
        <f t="shared" si="10"/>
        <v>30390</v>
      </c>
      <c r="I88" s="736"/>
      <c r="J88" s="736"/>
    </row>
    <row r="89" spans="1:11" ht="12.75" customHeight="1" x14ac:dyDescent="0.2">
      <c r="A89" s="800"/>
      <c r="B89" s="747">
        <v>53204030000000</v>
      </c>
      <c r="C89" s="748" t="s">
        <v>210</v>
      </c>
      <c r="D89" s="560">
        <f t="shared" si="11"/>
        <v>15229</v>
      </c>
      <c r="E89" s="560">
        <v>0</v>
      </c>
      <c r="F89" s="559">
        <v>0</v>
      </c>
      <c r="G89" s="560">
        <f t="shared" si="9"/>
        <v>0</v>
      </c>
      <c r="H89" s="561">
        <f>D89+G89</f>
        <v>15229</v>
      </c>
      <c r="I89" s="736"/>
      <c r="J89" s="736"/>
    </row>
    <row r="90" spans="1:11" ht="12.75" customHeight="1" x14ac:dyDescent="0.2">
      <c r="A90" s="800"/>
      <c r="B90" s="747">
        <v>53204100100001</v>
      </c>
      <c r="C90" s="748" t="s">
        <v>22</v>
      </c>
      <c r="D90" s="560">
        <f t="shared" si="11"/>
        <v>0</v>
      </c>
      <c r="E90" s="560">
        <v>0</v>
      </c>
      <c r="F90" s="559">
        <v>0</v>
      </c>
      <c r="G90" s="560">
        <f t="shared" si="9"/>
        <v>0</v>
      </c>
      <c r="H90" s="561">
        <f t="shared" ref="H90:H102" si="12">D90+G90</f>
        <v>0</v>
      </c>
      <c r="I90" s="736"/>
      <c r="J90" s="736"/>
    </row>
    <row r="91" spans="1:11" ht="12.75" customHeight="1" x14ac:dyDescent="0.2">
      <c r="A91" s="800"/>
      <c r="B91" s="747">
        <v>53204130100000</v>
      </c>
      <c r="C91" s="748" t="s">
        <v>177</v>
      </c>
      <c r="D91" s="560">
        <f t="shared" si="11"/>
        <v>0</v>
      </c>
      <c r="E91" s="560">
        <v>0</v>
      </c>
      <c r="F91" s="559">
        <v>0</v>
      </c>
      <c r="G91" s="560">
        <f t="shared" si="9"/>
        <v>0</v>
      </c>
      <c r="H91" s="561">
        <f t="shared" si="12"/>
        <v>0</v>
      </c>
      <c r="I91" s="736"/>
      <c r="J91" s="736"/>
    </row>
    <row r="92" spans="1:11" ht="12.75" customHeight="1" x14ac:dyDescent="0.2">
      <c r="A92" s="800"/>
      <c r="B92" s="747">
        <v>53205010100000</v>
      </c>
      <c r="C92" s="748" t="s">
        <v>24</v>
      </c>
      <c r="D92" s="560">
        <f t="shared" si="11"/>
        <v>272295.40000000002</v>
      </c>
      <c r="E92" s="560">
        <v>0</v>
      </c>
      <c r="F92" s="559">
        <v>0</v>
      </c>
      <c r="G92" s="560">
        <f t="shared" si="9"/>
        <v>0</v>
      </c>
      <c r="H92" s="561">
        <f t="shared" si="12"/>
        <v>272295.40000000002</v>
      </c>
      <c r="I92" s="736"/>
      <c r="J92" s="736"/>
    </row>
    <row r="93" spans="1:11" ht="12.75" customHeight="1" x14ac:dyDescent="0.2">
      <c r="A93" s="800"/>
      <c r="B93" s="747">
        <v>53205020100000</v>
      </c>
      <c r="C93" s="748" t="s">
        <v>25</v>
      </c>
      <c r="D93" s="560">
        <f t="shared" si="11"/>
        <v>297655.40000000002</v>
      </c>
      <c r="E93" s="560">
        <v>0</v>
      </c>
      <c r="F93" s="559">
        <v>0</v>
      </c>
      <c r="G93" s="560">
        <f t="shared" si="9"/>
        <v>0</v>
      </c>
      <c r="H93" s="561">
        <f t="shared" si="12"/>
        <v>297655.40000000002</v>
      </c>
      <c r="I93" s="736"/>
      <c r="J93" s="736"/>
    </row>
    <row r="94" spans="1:11" ht="12.75" customHeight="1" x14ac:dyDescent="0.2">
      <c r="A94" s="800"/>
      <c r="B94" s="747">
        <v>53205030100000</v>
      </c>
      <c r="C94" s="748" t="s">
        <v>26</v>
      </c>
      <c r="D94" s="560">
        <f t="shared" si="11"/>
        <v>356403.20000000001</v>
      </c>
      <c r="E94" s="560">
        <v>0</v>
      </c>
      <c r="F94" s="559">
        <v>0</v>
      </c>
      <c r="G94" s="560">
        <f t="shared" si="9"/>
        <v>0</v>
      </c>
      <c r="H94" s="561">
        <f t="shared" si="12"/>
        <v>356403.20000000001</v>
      </c>
      <c r="I94" s="736"/>
      <c r="J94" s="736"/>
    </row>
    <row r="95" spans="1:11" ht="12.75" customHeight="1" x14ac:dyDescent="0.2">
      <c r="A95" s="800"/>
      <c r="B95" s="747">
        <v>53205050100000</v>
      </c>
      <c r="C95" s="748" t="s">
        <v>27</v>
      </c>
      <c r="D95" s="560">
        <f t="shared" si="11"/>
        <v>0</v>
      </c>
      <c r="E95" s="560">
        <v>0</v>
      </c>
      <c r="F95" s="559">
        <v>0</v>
      </c>
      <c r="G95" s="560">
        <f t="shared" si="9"/>
        <v>0</v>
      </c>
      <c r="H95" s="561">
        <f t="shared" si="12"/>
        <v>0</v>
      </c>
      <c r="I95" s="736"/>
      <c r="J95" s="736"/>
    </row>
    <row r="96" spans="1:11" ht="12.75" customHeight="1" x14ac:dyDescent="0.2">
      <c r="A96" s="800"/>
      <c r="B96" s="747">
        <v>53205070100000</v>
      </c>
      <c r="C96" s="748" t="s">
        <v>29</v>
      </c>
      <c r="D96" s="560">
        <f t="shared" si="11"/>
        <v>65967</v>
      </c>
      <c r="E96" s="560">
        <v>0</v>
      </c>
      <c r="F96" s="559">
        <v>0</v>
      </c>
      <c r="G96" s="560">
        <f t="shared" si="9"/>
        <v>0</v>
      </c>
      <c r="H96" s="561">
        <f t="shared" si="12"/>
        <v>65967</v>
      </c>
      <c r="I96" s="736"/>
      <c r="J96" s="736"/>
    </row>
    <row r="97" spans="1:10" ht="12.75" customHeight="1" x14ac:dyDescent="0.2">
      <c r="A97" s="800"/>
      <c r="B97" s="747">
        <v>53208010100000</v>
      </c>
      <c r="C97" s="748" t="s">
        <v>30</v>
      </c>
      <c r="D97" s="560">
        <f t="shared" si="11"/>
        <v>0</v>
      </c>
      <c r="E97" s="560">
        <v>0</v>
      </c>
      <c r="F97" s="559">
        <v>0</v>
      </c>
      <c r="G97" s="560">
        <f t="shared" si="9"/>
        <v>0</v>
      </c>
      <c r="H97" s="561">
        <f t="shared" si="12"/>
        <v>0</v>
      </c>
      <c r="I97" s="736"/>
      <c r="J97" s="736"/>
    </row>
    <row r="98" spans="1:10" ht="12.75" customHeight="1" x14ac:dyDescent="0.2">
      <c r="A98" s="800"/>
      <c r="B98" s="747">
        <v>53208070100001</v>
      </c>
      <c r="C98" s="748" t="s">
        <v>31</v>
      </c>
      <c r="D98" s="560">
        <f t="shared" si="11"/>
        <v>0</v>
      </c>
      <c r="E98" s="560">
        <v>0</v>
      </c>
      <c r="F98" s="559">
        <v>0</v>
      </c>
      <c r="G98" s="560">
        <f t="shared" si="9"/>
        <v>0</v>
      </c>
      <c r="H98" s="561">
        <f t="shared" si="12"/>
        <v>0</v>
      </c>
      <c r="I98" s="736"/>
      <c r="J98" s="736"/>
    </row>
    <row r="99" spans="1:10" ht="12.75" customHeight="1" x14ac:dyDescent="0.2">
      <c r="A99" s="800"/>
      <c r="B99" s="747">
        <v>53208100100001</v>
      </c>
      <c r="C99" s="748" t="s">
        <v>178</v>
      </c>
      <c r="D99" s="560">
        <f t="shared" si="11"/>
        <v>0</v>
      </c>
      <c r="E99" s="560">
        <v>0</v>
      </c>
      <c r="F99" s="559">
        <v>0</v>
      </c>
      <c r="G99" s="560">
        <f t="shared" si="9"/>
        <v>0</v>
      </c>
      <c r="H99" s="561">
        <f t="shared" si="12"/>
        <v>0</v>
      </c>
      <c r="I99" s="736"/>
      <c r="J99" s="736"/>
    </row>
    <row r="100" spans="1:10" ht="12.75" customHeight="1" x14ac:dyDescent="0.2">
      <c r="A100" s="800"/>
      <c r="B100" s="747">
        <v>53211030000000</v>
      </c>
      <c r="C100" s="748" t="s">
        <v>32</v>
      </c>
      <c r="D100" s="560">
        <f t="shared" si="11"/>
        <v>0</v>
      </c>
      <c r="E100" s="560">
        <v>0</v>
      </c>
      <c r="F100" s="559">
        <v>0</v>
      </c>
      <c r="G100" s="560">
        <f t="shared" si="9"/>
        <v>0</v>
      </c>
      <c r="H100" s="561">
        <f t="shared" si="12"/>
        <v>0</v>
      </c>
      <c r="I100" s="736"/>
      <c r="J100" s="736"/>
    </row>
    <row r="101" spans="1:10" ht="12.75" customHeight="1" x14ac:dyDescent="0.2">
      <c r="A101" s="800"/>
      <c r="B101" s="747">
        <v>53212020100000</v>
      </c>
      <c r="C101" s="748" t="s">
        <v>179</v>
      </c>
      <c r="D101" s="560">
        <f t="shared" si="11"/>
        <v>317271.60000000003</v>
      </c>
      <c r="E101" s="560">
        <v>0</v>
      </c>
      <c r="F101" s="559">
        <v>0</v>
      </c>
      <c r="G101" s="560">
        <f t="shared" si="9"/>
        <v>0</v>
      </c>
      <c r="H101" s="561">
        <f t="shared" si="12"/>
        <v>317271.60000000003</v>
      </c>
      <c r="I101" s="736"/>
      <c r="J101" s="736"/>
    </row>
    <row r="102" spans="1:10" ht="12.75" customHeight="1" x14ac:dyDescent="0.2">
      <c r="A102" s="800"/>
      <c r="B102" s="747">
        <v>53214020000000</v>
      </c>
      <c r="C102" s="748" t="s">
        <v>180</v>
      </c>
      <c r="D102" s="560">
        <f t="shared" si="11"/>
        <v>0</v>
      </c>
      <c r="E102" s="560">
        <v>0</v>
      </c>
      <c r="F102" s="559">
        <v>0</v>
      </c>
      <c r="G102" s="560">
        <f t="shared" si="9"/>
        <v>0</v>
      </c>
      <c r="H102" s="561">
        <f t="shared" si="12"/>
        <v>0</v>
      </c>
      <c r="I102" s="736"/>
      <c r="J102" s="736"/>
    </row>
    <row r="103" spans="1:10" ht="15.75" customHeight="1" x14ac:dyDescent="0.2">
      <c r="A103" s="800"/>
      <c r="B103" s="730"/>
      <c r="C103" s="731" t="s">
        <v>34</v>
      </c>
      <c r="D103" s="762">
        <f>+D104+D109+D111+D120+D129+D137</f>
        <v>1425145.8</v>
      </c>
      <c r="E103" s="763"/>
      <c r="F103" s="763"/>
      <c r="G103" s="762">
        <f>+G104+G109+G111+G120+G129+G137</f>
        <v>207290</v>
      </c>
      <c r="H103" s="762">
        <f>+H104+H109+H111+H120+H129+H137</f>
        <v>1632435.8</v>
      </c>
      <c r="I103" s="736"/>
      <c r="J103" s="736"/>
    </row>
    <row r="104" spans="1:10" ht="12.75" customHeight="1" x14ac:dyDescent="0.2">
      <c r="A104" s="800"/>
      <c r="B104" s="739"/>
      <c r="C104" s="740" t="s">
        <v>35</v>
      </c>
      <c r="D104" s="741">
        <f>SUM(D105:D108)</f>
        <v>88097.8</v>
      </c>
      <c r="E104" s="742"/>
      <c r="F104" s="742"/>
      <c r="G104" s="741">
        <f>SUM(G105:G108)</f>
        <v>131690</v>
      </c>
      <c r="H104" s="741">
        <f>SUM(H105:H108)</f>
        <v>219787.8</v>
      </c>
      <c r="I104" s="736"/>
      <c r="J104" s="736"/>
    </row>
    <row r="105" spans="1:10" ht="12.75" customHeight="1" x14ac:dyDescent="0.2">
      <c r="A105" s="800"/>
      <c r="B105" s="747">
        <v>53202020100000</v>
      </c>
      <c r="C105" s="748" t="s">
        <v>181</v>
      </c>
      <c r="D105" s="343">
        <v>0</v>
      </c>
      <c r="E105" s="344">
        <v>25325</v>
      </c>
      <c r="F105" s="414">
        <v>4</v>
      </c>
      <c r="G105" s="560">
        <f>E105*F105</f>
        <v>101300</v>
      </c>
      <c r="H105" s="561">
        <f t="shared" ref="H105:H108" si="13">D105+G105</f>
        <v>101300</v>
      </c>
      <c r="I105" s="736"/>
      <c r="J105" s="736"/>
    </row>
    <row r="106" spans="1:10" ht="12.75" customHeight="1" x14ac:dyDescent="0.2">
      <c r="A106" s="800"/>
      <c r="B106" s="747">
        <v>53202030000000</v>
      </c>
      <c r="C106" s="748" t="s">
        <v>182</v>
      </c>
      <c r="D106" s="343">
        <v>0</v>
      </c>
      <c r="E106" s="344">
        <v>30390</v>
      </c>
      <c r="F106" s="414">
        <v>1</v>
      </c>
      <c r="G106" s="560">
        <f t="shared" ref="G106:G108" si="14">E106*F106</f>
        <v>30390</v>
      </c>
      <c r="H106" s="561">
        <f t="shared" si="13"/>
        <v>30390</v>
      </c>
      <c r="I106" s="736"/>
      <c r="J106" s="736"/>
    </row>
    <row r="107" spans="1:10" ht="12.75" customHeight="1" x14ac:dyDescent="0.2">
      <c r="A107" s="800"/>
      <c r="B107" s="747">
        <v>53211020000000</v>
      </c>
      <c r="C107" s="748" t="s">
        <v>41</v>
      </c>
      <c r="D107" s="764">
        <f>O33</f>
        <v>52000</v>
      </c>
      <c r="E107" s="764">
        <v>0</v>
      </c>
      <c r="F107" s="765">
        <v>0</v>
      </c>
      <c r="G107" s="560">
        <f t="shared" si="14"/>
        <v>0</v>
      </c>
      <c r="H107" s="561">
        <f t="shared" si="13"/>
        <v>52000</v>
      </c>
      <c r="I107" s="736"/>
      <c r="J107" s="736"/>
    </row>
    <row r="108" spans="1:10" ht="12.75" customHeight="1" x14ac:dyDescent="0.2">
      <c r="A108" s="800"/>
      <c r="B108" s="747">
        <v>53101040600000</v>
      </c>
      <c r="C108" s="748" t="s">
        <v>183</v>
      </c>
      <c r="D108" s="764">
        <f>O34</f>
        <v>36097.800000000003</v>
      </c>
      <c r="E108" s="764">
        <v>0</v>
      </c>
      <c r="F108" s="765">
        <v>0</v>
      </c>
      <c r="G108" s="560">
        <f t="shared" si="14"/>
        <v>0</v>
      </c>
      <c r="H108" s="561">
        <f t="shared" si="13"/>
        <v>36097.800000000003</v>
      </c>
      <c r="I108" s="736"/>
      <c r="J108" s="736"/>
    </row>
    <row r="109" spans="1:10" ht="12.75" customHeight="1" x14ac:dyDescent="0.2">
      <c r="A109" s="800"/>
      <c r="B109" s="739"/>
      <c r="C109" s="740" t="s">
        <v>42</v>
      </c>
      <c r="D109" s="741">
        <f>SUM(D110:D110)</f>
        <v>0</v>
      </c>
      <c r="E109" s="742"/>
      <c r="F109" s="742"/>
      <c r="G109" s="766">
        <f>SUM(G110:G110)</f>
        <v>0</v>
      </c>
      <c r="H109" s="767">
        <f>SUM(H110:H110)</f>
        <v>0</v>
      </c>
      <c r="I109" s="736"/>
      <c r="J109" s="736"/>
    </row>
    <row r="110" spans="1:10" ht="12.75" customHeight="1" x14ac:dyDescent="0.2">
      <c r="A110" s="800"/>
      <c r="B110" s="768">
        <v>53205990000000</v>
      </c>
      <c r="C110" s="748" t="s">
        <v>44</v>
      </c>
      <c r="D110" s="764">
        <f>+O36</f>
        <v>0</v>
      </c>
      <c r="E110" s="764">
        <v>0</v>
      </c>
      <c r="F110" s="765">
        <v>0</v>
      </c>
      <c r="G110" s="560">
        <f t="shared" ref="G110" si="15">E110*F110</f>
        <v>0</v>
      </c>
      <c r="H110" s="561">
        <f t="shared" ref="H110" si="16">D110+G110</f>
        <v>0</v>
      </c>
      <c r="I110" s="736"/>
      <c r="J110" s="736"/>
    </row>
    <row r="111" spans="1:10" ht="12.75" customHeight="1" x14ac:dyDescent="0.2">
      <c r="A111" s="800"/>
      <c r="B111" s="739"/>
      <c r="C111" s="740" t="s">
        <v>45</v>
      </c>
      <c r="D111" s="741">
        <f>SUM(D112:D119)</f>
        <v>883050.2</v>
      </c>
      <c r="E111" s="742"/>
      <c r="F111" s="742"/>
      <c r="G111" s="741">
        <f>SUM(G112:G119)</f>
        <v>0</v>
      </c>
      <c r="H111" s="744">
        <f>SUM(H112:H119)</f>
        <v>883050.2</v>
      </c>
      <c r="I111" s="736"/>
      <c r="J111" s="736"/>
    </row>
    <row r="112" spans="1:10" ht="12.75" customHeight="1" x14ac:dyDescent="0.2">
      <c r="A112" s="800"/>
      <c r="B112" s="747">
        <v>53204010000000</v>
      </c>
      <c r="C112" s="748" t="s">
        <v>47</v>
      </c>
      <c r="D112" s="764">
        <f>+O38</f>
        <v>211514.40000000002</v>
      </c>
      <c r="E112" s="764">
        <v>0</v>
      </c>
      <c r="F112" s="765">
        <v>0</v>
      </c>
      <c r="G112" s="764">
        <f t="shared" ref="G112:G119" si="17">E112*F112</f>
        <v>0</v>
      </c>
      <c r="H112" s="561">
        <f t="shared" ref="H112:H119" si="18">D112+G112</f>
        <v>211514.40000000002</v>
      </c>
      <c r="I112" s="736"/>
      <c r="J112" s="736"/>
    </row>
    <row r="113" spans="1:10" ht="12.75" customHeight="1" x14ac:dyDescent="0.2">
      <c r="A113" s="800"/>
      <c r="B113" s="768">
        <v>53204040200000</v>
      </c>
      <c r="C113" s="748" t="s">
        <v>211</v>
      </c>
      <c r="D113" s="764">
        <f t="shared" ref="D113:D119" si="19">+O39</f>
        <v>25381.800000000003</v>
      </c>
      <c r="E113" s="764">
        <v>0</v>
      </c>
      <c r="F113" s="765">
        <v>0</v>
      </c>
      <c r="G113" s="764">
        <f t="shared" si="17"/>
        <v>0</v>
      </c>
      <c r="H113" s="561">
        <f t="shared" si="18"/>
        <v>25381.800000000003</v>
      </c>
      <c r="I113" s="736"/>
      <c r="J113" s="736"/>
    </row>
    <row r="114" spans="1:10" ht="12.75" customHeight="1" x14ac:dyDescent="0.2">
      <c r="A114" s="800"/>
      <c r="B114" s="747">
        <v>53204060000000</v>
      </c>
      <c r="C114" s="748" t="s">
        <v>49</v>
      </c>
      <c r="D114" s="764">
        <f t="shared" si="19"/>
        <v>0</v>
      </c>
      <c r="E114" s="764">
        <v>0</v>
      </c>
      <c r="F114" s="765">
        <v>0</v>
      </c>
      <c r="G114" s="764">
        <f t="shared" si="17"/>
        <v>0</v>
      </c>
      <c r="H114" s="561">
        <f t="shared" si="18"/>
        <v>0</v>
      </c>
      <c r="I114" s="736"/>
      <c r="J114" s="736"/>
    </row>
    <row r="115" spans="1:10" ht="12.75" customHeight="1" x14ac:dyDescent="0.2">
      <c r="A115" s="800"/>
      <c r="B115" s="747">
        <v>53204070000000</v>
      </c>
      <c r="C115" s="748" t="s">
        <v>50</v>
      </c>
      <c r="D115" s="764">
        <f t="shared" si="19"/>
        <v>480000</v>
      </c>
      <c r="E115" s="764">
        <v>0</v>
      </c>
      <c r="F115" s="765">
        <v>0</v>
      </c>
      <c r="G115" s="764">
        <f t="shared" si="17"/>
        <v>0</v>
      </c>
      <c r="H115" s="561">
        <f t="shared" si="18"/>
        <v>480000</v>
      </c>
      <c r="I115" s="736"/>
      <c r="J115" s="736"/>
    </row>
    <row r="116" spans="1:10" ht="12.75" customHeight="1" x14ac:dyDescent="0.2">
      <c r="A116" s="800"/>
      <c r="B116" s="747">
        <v>53204080000000</v>
      </c>
      <c r="C116" s="748" t="s">
        <v>51</v>
      </c>
      <c r="D116" s="764">
        <f t="shared" si="19"/>
        <v>52986.600000000006</v>
      </c>
      <c r="E116" s="764">
        <v>0</v>
      </c>
      <c r="F116" s="765">
        <v>0</v>
      </c>
      <c r="G116" s="764">
        <f t="shared" si="17"/>
        <v>0</v>
      </c>
      <c r="H116" s="561">
        <f t="shared" si="18"/>
        <v>52986.600000000006</v>
      </c>
      <c r="I116" s="736"/>
      <c r="J116" s="736"/>
    </row>
    <row r="117" spans="1:10" ht="12.75" customHeight="1" x14ac:dyDescent="0.2">
      <c r="A117" s="800"/>
      <c r="B117" s="747">
        <v>53214010000000</v>
      </c>
      <c r="C117" s="748" t="s">
        <v>52</v>
      </c>
      <c r="D117" s="764">
        <f t="shared" si="19"/>
        <v>0</v>
      </c>
      <c r="E117" s="769">
        <v>0</v>
      </c>
      <c r="F117" s="765">
        <v>0</v>
      </c>
      <c r="G117" s="764">
        <f t="shared" si="17"/>
        <v>0</v>
      </c>
      <c r="H117" s="561">
        <f t="shared" si="18"/>
        <v>0</v>
      </c>
      <c r="I117" s="736"/>
      <c r="J117" s="736"/>
    </row>
    <row r="118" spans="1:10" ht="12.75" customHeight="1" x14ac:dyDescent="0.2">
      <c r="A118" s="800"/>
      <c r="B118" s="747">
        <v>53214040000000</v>
      </c>
      <c r="C118" s="748" t="s">
        <v>184</v>
      </c>
      <c r="D118" s="764">
        <f t="shared" si="19"/>
        <v>21997.4</v>
      </c>
      <c r="E118" s="769">
        <v>0</v>
      </c>
      <c r="F118" s="765">
        <v>0</v>
      </c>
      <c r="G118" s="764">
        <f t="shared" si="17"/>
        <v>0</v>
      </c>
      <c r="H118" s="561">
        <f t="shared" si="18"/>
        <v>21997.4</v>
      </c>
      <c r="I118" s="736"/>
      <c r="J118" s="736"/>
    </row>
    <row r="119" spans="1:10" ht="12.75" customHeight="1" x14ac:dyDescent="0.2">
      <c r="A119" s="800"/>
      <c r="B119" s="753">
        <v>53204020100000</v>
      </c>
      <c r="C119" s="748" t="s">
        <v>176</v>
      </c>
      <c r="D119" s="764">
        <f t="shared" si="19"/>
        <v>91170</v>
      </c>
      <c r="E119" s="764">
        <v>0</v>
      </c>
      <c r="F119" s="765">
        <v>0</v>
      </c>
      <c r="G119" s="764">
        <f t="shared" si="17"/>
        <v>0</v>
      </c>
      <c r="H119" s="561">
        <f t="shared" si="18"/>
        <v>91170</v>
      </c>
      <c r="I119" s="736"/>
      <c r="J119" s="736"/>
    </row>
    <row r="120" spans="1:10" ht="12.75" customHeight="1" x14ac:dyDescent="0.2">
      <c r="A120" s="800"/>
      <c r="B120" s="739"/>
      <c r="C120" s="740" t="s">
        <v>55</v>
      </c>
      <c r="D120" s="741">
        <f>SUM(D121:D128)</f>
        <v>361977.8</v>
      </c>
      <c r="E120" s="742"/>
      <c r="F120" s="742"/>
      <c r="G120" s="741">
        <f>SUM(G121:G128)</f>
        <v>75600</v>
      </c>
      <c r="H120" s="744">
        <f>SUM(H121:H128)</f>
        <v>437577.80000000005</v>
      </c>
      <c r="I120" s="736"/>
      <c r="J120" s="736"/>
    </row>
    <row r="121" spans="1:10" ht="12.75" customHeight="1" x14ac:dyDescent="0.2">
      <c r="A121" s="800"/>
      <c r="B121" s="747">
        <v>53207010000000</v>
      </c>
      <c r="C121" s="748" t="s">
        <v>56</v>
      </c>
      <c r="D121" s="764">
        <f>+O47</f>
        <v>0</v>
      </c>
      <c r="E121" s="764">
        <v>0</v>
      </c>
      <c r="F121" s="765">
        <v>0</v>
      </c>
      <c r="G121" s="764">
        <f t="shared" ref="G121:G128" si="20">E121*F121</f>
        <v>0</v>
      </c>
      <c r="H121" s="561">
        <f t="shared" ref="H121:H128" si="21">D121+G121</f>
        <v>0</v>
      </c>
      <c r="I121" s="736"/>
      <c r="J121" s="736"/>
    </row>
    <row r="122" spans="1:10" ht="12.75" customHeight="1" x14ac:dyDescent="0.2">
      <c r="A122" s="800"/>
      <c r="B122" s="747">
        <v>53207020000000</v>
      </c>
      <c r="C122" s="748" t="s">
        <v>57</v>
      </c>
      <c r="D122" s="764">
        <f t="shared" ref="D122:D124" si="22">+O48</f>
        <v>0</v>
      </c>
      <c r="E122" s="764">
        <v>0</v>
      </c>
      <c r="F122" s="765">
        <v>0</v>
      </c>
      <c r="G122" s="764">
        <f t="shared" si="20"/>
        <v>0</v>
      </c>
      <c r="H122" s="561">
        <f t="shared" si="21"/>
        <v>0</v>
      </c>
      <c r="I122" s="736"/>
      <c r="J122" s="736"/>
    </row>
    <row r="123" spans="1:10" ht="12.75" customHeight="1" x14ac:dyDescent="0.2">
      <c r="A123" s="800"/>
      <c r="B123" s="747">
        <v>53208020000000</v>
      </c>
      <c r="C123" s="748" t="s">
        <v>167</v>
      </c>
      <c r="D123" s="764">
        <f t="shared" si="22"/>
        <v>0</v>
      </c>
      <c r="E123" s="764">
        <v>0</v>
      </c>
      <c r="F123" s="765">
        <v>0</v>
      </c>
      <c r="G123" s="764">
        <f t="shared" si="20"/>
        <v>0</v>
      </c>
      <c r="H123" s="561">
        <f t="shared" si="21"/>
        <v>0</v>
      </c>
      <c r="I123" s="736"/>
      <c r="J123" s="736"/>
    </row>
    <row r="124" spans="1:10" ht="12.75" customHeight="1" x14ac:dyDescent="0.2">
      <c r="A124" s="800"/>
      <c r="B124" s="747">
        <v>53208990000000</v>
      </c>
      <c r="C124" s="748" t="s">
        <v>185</v>
      </c>
      <c r="D124" s="764">
        <f t="shared" si="22"/>
        <v>76145.2</v>
      </c>
      <c r="E124" s="764">
        <v>0</v>
      </c>
      <c r="F124" s="765">
        <v>0</v>
      </c>
      <c r="G124" s="764">
        <f t="shared" si="20"/>
        <v>0</v>
      </c>
      <c r="H124" s="561">
        <f t="shared" si="21"/>
        <v>76145.2</v>
      </c>
      <c r="I124" s="736"/>
      <c r="J124" s="736"/>
    </row>
    <row r="125" spans="1:10" ht="12.75" customHeight="1" x14ac:dyDescent="0.2">
      <c r="A125" s="800"/>
      <c r="B125" s="753">
        <v>53210020300000</v>
      </c>
      <c r="C125" s="748" t="s">
        <v>187</v>
      </c>
      <c r="D125" s="554">
        <v>0</v>
      </c>
      <c r="E125" s="554">
        <v>7560</v>
      </c>
      <c r="F125" s="562">
        <f>+'B) Reajuste Tarifas y Ocupación'!I28</f>
        <v>10</v>
      </c>
      <c r="G125" s="560">
        <f t="shared" si="20"/>
        <v>75600</v>
      </c>
      <c r="H125" s="561">
        <f t="shared" si="21"/>
        <v>75600</v>
      </c>
      <c r="I125" s="736"/>
      <c r="J125" s="736"/>
    </row>
    <row r="126" spans="1:10" ht="12.75" customHeight="1" x14ac:dyDescent="0.2">
      <c r="A126" s="800"/>
      <c r="B126" s="747">
        <v>53208990000000</v>
      </c>
      <c r="C126" s="748" t="s">
        <v>188</v>
      </c>
      <c r="D126" s="560">
        <f>+O51</f>
        <v>0</v>
      </c>
      <c r="E126" s="560">
        <v>0</v>
      </c>
      <c r="F126" s="562">
        <v>0</v>
      </c>
      <c r="G126" s="560">
        <f t="shared" si="20"/>
        <v>0</v>
      </c>
      <c r="H126" s="561">
        <f t="shared" si="21"/>
        <v>0</v>
      </c>
      <c r="I126" s="736"/>
      <c r="J126" s="736"/>
    </row>
    <row r="127" spans="1:10" ht="12.75" customHeight="1" x14ac:dyDescent="0.2">
      <c r="A127" s="800"/>
      <c r="B127" s="747">
        <v>53209990000000</v>
      </c>
      <c r="C127" s="748" t="s">
        <v>186</v>
      </c>
      <c r="D127" s="560">
        <f t="shared" ref="D127:D128" si="23">+O52</f>
        <v>30390</v>
      </c>
      <c r="E127" s="560">
        <v>0</v>
      </c>
      <c r="F127" s="562">
        <v>0</v>
      </c>
      <c r="G127" s="560">
        <f t="shared" si="20"/>
        <v>0</v>
      </c>
      <c r="H127" s="561">
        <f t="shared" si="21"/>
        <v>30390</v>
      </c>
      <c r="I127" s="736"/>
      <c r="J127" s="736"/>
    </row>
    <row r="128" spans="1:10" ht="12.75" customHeight="1" x14ac:dyDescent="0.2">
      <c r="A128" s="800"/>
      <c r="B128" s="747">
        <v>53210020100000</v>
      </c>
      <c r="C128" s="748" t="s">
        <v>64</v>
      </c>
      <c r="D128" s="560">
        <f t="shared" si="23"/>
        <v>255442.6</v>
      </c>
      <c r="E128" s="560">
        <v>0</v>
      </c>
      <c r="F128" s="562">
        <v>0</v>
      </c>
      <c r="G128" s="560">
        <f t="shared" si="20"/>
        <v>0</v>
      </c>
      <c r="H128" s="561">
        <f t="shared" si="21"/>
        <v>255442.6</v>
      </c>
      <c r="I128" s="736"/>
      <c r="J128" s="736"/>
    </row>
    <row r="129" spans="1:10" ht="12.75" customHeight="1" x14ac:dyDescent="0.2">
      <c r="A129" s="800"/>
      <c r="B129" s="739"/>
      <c r="C129" s="740" t="s">
        <v>65</v>
      </c>
      <c r="D129" s="741">
        <f>SUM(D130:D136)</f>
        <v>92020</v>
      </c>
      <c r="E129" s="742"/>
      <c r="F129" s="742"/>
      <c r="G129" s="741">
        <f>SUM(G130:G136)</f>
        <v>0</v>
      </c>
      <c r="H129" s="744">
        <f>SUM(H130:H136)</f>
        <v>92020</v>
      </c>
      <c r="I129" s="736"/>
      <c r="J129" s="736"/>
    </row>
    <row r="130" spans="1:10" ht="12.75" customHeight="1" x14ac:dyDescent="0.2">
      <c r="A130" s="800"/>
      <c r="B130" s="747">
        <v>53206030000000</v>
      </c>
      <c r="C130" s="748" t="s">
        <v>99</v>
      </c>
      <c r="D130" s="764">
        <f>+O55</f>
        <v>0</v>
      </c>
      <c r="E130" s="764">
        <v>0</v>
      </c>
      <c r="F130" s="765">
        <v>0</v>
      </c>
      <c r="G130" s="560">
        <f t="shared" ref="G130:G136" si="24">E130*F130</f>
        <v>0</v>
      </c>
      <c r="H130" s="561">
        <f t="shared" ref="H130:H135" si="25">D130+G130</f>
        <v>0</v>
      </c>
      <c r="I130" s="736"/>
      <c r="J130" s="736"/>
    </row>
    <row r="131" spans="1:10" ht="12.75" customHeight="1" x14ac:dyDescent="0.2">
      <c r="A131" s="800"/>
      <c r="B131" s="747">
        <v>53206040000000</v>
      </c>
      <c r="C131" s="748" t="s">
        <v>100</v>
      </c>
      <c r="D131" s="764">
        <f t="shared" ref="D131:D136" si="26">+O56</f>
        <v>0</v>
      </c>
      <c r="E131" s="764">
        <v>0</v>
      </c>
      <c r="F131" s="765">
        <v>0</v>
      </c>
      <c r="G131" s="560">
        <f t="shared" si="24"/>
        <v>0</v>
      </c>
      <c r="H131" s="561">
        <f t="shared" si="25"/>
        <v>0</v>
      </c>
      <c r="I131" s="736"/>
      <c r="J131" s="736"/>
    </row>
    <row r="132" spans="1:10" ht="12.75" customHeight="1" x14ac:dyDescent="0.2">
      <c r="A132" s="800"/>
      <c r="B132" s="747">
        <v>53206060000000</v>
      </c>
      <c r="C132" s="748" t="s">
        <v>189</v>
      </c>
      <c r="D132" s="764">
        <f t="shared" si="26"/>
        <v>76020</v>
      </c>
      <c r="E132" s="764">
        <v>0</v>
      </c>
      <c r="F132" s="765">
        <v>0</v>
      </c>
      <c r="G132" s="560">
        <f t="shared" si="24"/>
        <v>0</v>
      </c>
      <c r="H132" s="561">
        <f t="shared" si="25"/>
        <v>76020</v>
      </c>
      <c r="I132" s="736"/>
      <c r="J132" s="736"/>
    </row>
    <row r="133" spans="1:10" ht="12.75" customHeight="1" x14ac:dyDescent="0.2">
      <c r="A133" s="800"/>
      <c r="B133" s="747">
        <v>53206070000000</v>
      </c>
      <c r="C133" s="748" t="s">
        <v>102</v>
      </c>
      <c r="D133" s="764">
        <f t="shared" si="26"/>
        <v>16000</v>
      </c>
      <c r="E133" s="764">
        <v>0</v>
      </c>
      <c r="F133" s="765">
        <v>0</v>
      </c>
      <c r="G133" s="560">
        <f t="shared" si="24"/>
        <v>0</v>
      </c>
      <c r="H133" s="561">
        <f t="shared" si="25"/>
        <v>16000</v>
      </c>
      <c r="I133" s="736"/>
      <c r="J133" s="736"/>
    </row>
    <row r="134" spans="1:10" ht="12.75" customHeight="1" x14ac:dyDescent="0.2">
      <c r="A134" s="800"/>
      <c r="B134" s="747">
        <v>53206990000000</v>
      </c>
      <c r="C134" s="748" t="s">
        <v>190</v>
      </c>
      <c r="D134" s="764">
        <f t="shared" si="26"/>
        <v>0</v>
      </c>
      <c r="E134" s="764">
        <v>0</v>
      </c>
      <c r="F134" s="765">
        <v>0</v>
      </c>
      <c r="G134" s="560">
        <f t="shared" si="24"/>
        <v>0</v>
      </c>
      <c r="H134" s="561">
        <f t="shared" si="25"/>
        <v>0</v>
      </c>
      <c r="I134" s="736"/>
      <c r="J134" s="736"/>
    </row>
    <row r="135" spans="1:10" ht="12.75" customHeight="1" x14ac:dyDescent="0.2">
      <c r="A135" s="800"/>
      <c r="B135" s="747">
        <v>53208030000000</v>
      </c>
      <c r="C135" s="748" t="s">
        <v>104</v>
      </c>
      <c r="D135" s="764">
        <f t="shared" si="26"/>
        <v>0</v>
      </c>
      <c r="E135" s="764">
        <v>0</v>
      </c>
      <c r="F135" s="765">
        <v>0</v>
      </c>
      <c r="G135" s="560">
        <f t="shared" si="24"/>
        <v>0</v>
      </c>
      <c r="H135" s="561">
        <f t="shared" si="25"/>
        <v>0</v>
      </c>
      <c r="I135" s="736"/>
      <c r="J135" s="736"/>
    </row>
    <row r="136" spans="1:10" ht="12.75" customHeight="1" x14ac:dyDescent="0.2">
      <c r="A136" s="800"/>
      <c r="B136" s="747">
        <v>53206990000000</v>
      </c>
      <c r="C136" s="748" t="s">
        <v>212</v>
      </c>
      <c r="D136" s="764">
        <f t="shared" si="26"/>
        <v>0</v>
      </c>
      <c r="E136" s="764">
        <v>0</v>
      </c>
      <c r="F136" s="765">
        <v>0</v>
      </c>
      <c r="G136" s="560">
        <f t="shared" si="24"/>
        <v>0</v>
      </c>
      <c r="H136" s="561">
        <f>D136+G136</f>
        <v>0</v>
      </c>
      <c r="I136" s="736"/>
      <c r="J136" s="736"/>
    </row>
    <row r="137" spans="1:10" ht="12.75" customHeight="1" x14ac:dyDescent="0.2">
      <c r="A137" s="800"/>
      <c r="B137" s="739"/>
      <c r="C137" s="740" t="s">
        <v>66</v>
      </c>
      <c r="D137" s="741">
        <f>SUM(D138:D138)</f>
        <v>0</v>
      </c>
      <c r="E137" s="742"/>
      <c r="F137" s="742"/>
      <c r="G137" s="741">
        <f>SUM(G138:G138)</f>
        <v>0</v>
      </c>
      <c r="H137" s="744">
        <f>SUM(H138:H138)</f>
        <v>0</v>
      </c>
      <c r="I137" s="736"/>
      <c r="J137" s="736"/>
    </row>
    <row r="138" spans="1:10" ht="12.75" customHeight="1" x14ac:dyDescent="0.2">
      <c r="A138" s="800"/>
      <c r="B138" s="770"/>
      <c r="C138" s="771" t="s">
        <v>213</v>
      </c>
      <c r="D138" s="343">
        <v>0</v>
      </c>
      <c r="E138" s="343">
        <v>0</v>
      </c>
      <c r="F138" s="414">
        <v>0</v>
      </c>
      <c r="G138" s="560">
        <f t="shared" ref="G138" si="27">E138*F138</f>
        <v>0</v>
      </c>
      <c r="H138" s="772">
        <f t="shared" ref="H138" si="28">D138+G138</f>
        <v>0</v>
      </c>
      <c r="I138" s="687" t="s">
        <v>214</v>
      </c>
      <c r="J138" s="773">
        <f>+H136+H135+H134+H133+H132+H131+H130+H128+H127+H126+H125+H124+H123+H122+H121+H119+H116+H115+H114+H113+H112+H110+H108+H107+H101+H100+H99+H97+H96+H95+H94+H93+H92+H91+H90+H89+H88+H87</f>
        <v>2855111.4</v>
      </c>
    </row>
    <row r="139" spans="1:10" ht="12.75" customHeight="1" collapsed="1" thickBot="1" x14ac:dyDescent="0.25">
      <c r="A139" s="801"/>
      <c r="B139" s="774"/>
      <c r="C139" s="775" t="s">
        <v>105</v>
      </c>
      <c r="D139" s="776">
        <f>SUM(D76,D103)</f>
        <v>31130260.226598401</v>
      </c>
      <c r="E139" s="777"/>
      <c r="F139" s="777"/>
      <c r="G139" s="776">
        <f>SUM(G76,G103)</f>
        <v>4064530</v>
      </c>
      <c r="H139" s="778">
        <f>SUM(H76,H103)</f>
        <v>35194790.226598397</v>
      </c>
      <c r="I139" s="686" t="s">
        <v>215</v>
      </c>
      <c r="J139" s="779">
        <f>+H139-J138</f>
        <v>32339678.826598398</v>
      </c>
    </row>
    <row r="140" spans="1:10" ht="31.5" customHeight="1" x14ac:dyDescent="0.2">
      <c r="A140" s="875" t="s">
        <v>226</v>
      </c>
      <c r="B140" s="346"/>
      <c r="C140" s="347" t="s">
        <v>11</v>
      </c>
      <c r="D140" s="348">
        <f>SUM(D141,D146)</f>
        <v>0</v>
      </c>
      <c r="E140" s="349"/>
      <c r="F140" s="349"/>
      <c r="G140" s="350">
        <f>SUM(G141,G146)</f>
        <v>0</v>
      </c>
      <c r="H140" s="351">
        <f>SUM(H141,H146)</f>
        <v>0</v>
      </c>
      <c r="I140" s="352"/>
      <c r="J140" s="352"/>
    </row>
    <row r="141" spans="1:10" ht="15.75" customHeight="1" x14ac:dyDescent="0.2">
      <c r="A141" s="876"/>
      <c r="B141" s="353"/>
      <c r="C141" s="354" t="s">
        <v>12</v>
      </c>
      <c r="D141" s="355">
        <f>SUM(D142:D145)</f>
        <v>0</v>
      </c>
      <c r="E141" s="356"/>
      <c r="F141" s="356"/>
      <c r="G141" s="357">
        <f>SUM(G142:G145)</f>
        <v>0</v>
      </c>
      <c r="H141" s="358">
        <f>SUM(H142:H145)</f>
        <v>0</v>
      </c>
      <c r="I141" s="352"/>
      <c r="J141" s="352"/>
    </row>
    <row r="142" spans="1:10" ht="15.75" customHeight="1" x14ac:dyDescent="0.2">
      <c r="A142" s="876"/>
      <c r="B142" s="359">
        <v>53103040100000</v>
      </c>
      <c r="C142" s="360" t="s">
        <v>95</v>
      </c>
      <c r="D142" s="361">
        <f>'F) Remuneraciones'!L30</f>
        <v>0</v>
      </c>
      <c r="E142" s="362">
        <v>0</v>
      </c>
      <c r="F142" s="363">
        <v>0</v>
      </c>
      <c r="G142" s="364">
        <f>E142*F142</f>
        <v>0</v>
      </c>
      <c r="H142" s="365">
        <f>D142+G142</f>
        <v>0</v>
      </c>
      <c r="I142" s="352"/>
      <c r="J142" s="352"/>
    </row>
    <row r="143" spans="1:10" ht="15.75" customHeight="1" x14ac:dyDescent="0.2">
      <c r="A143" s="876"/>
      <c r="B143" s="359">
        <v>53103050000000</v>
      </c>
      <c r="C143" s="360" t="s">
        <v>168</v>
      </c>
      <c r="D143" s="366">
        <v>0</v>
      </c>
      <c r="E143" s="367">
        <v>0</v>
      </c>
      <c r="F143" s="368">
        <v>0</v>
      </c>
      <c r="G143" s="364">
        <f>E143*F143</f>
        <v>0</v>
      </c>
      <c r="H143" s="365">
        <f>D143+G143</f>
        <v>0</v>
      </c>
      <c r="I143" s="352"/>
      <c r="J143" s="352"/>
    </row>
    <row r="144" spans="1:10" ht="15.75" customHeight="1" x14ac:dyDescent="0.2">
      <c r="A144" s="876"/>
      <c r="B144" s="369">
        <v>53103040400000</v>
      </c>
      <c r="C144" s="370" t="s">
        <v>169</v>
      </c>
      <c r="D144" s="366">
        <v>0</v>
      </c>
      <c r="E144" s="367">
        <v>0</v>
      </c>
      <c r="F144" s="368">
        <v>0</v>
      </c>
      <c r="G144" s="364">
        <f>E144*F144</f>
        <v>0</v>
      </c>
      <c r="H144" s="365">
        <f>D144+G144</f>
        <v>0</v>
      </c>
      <c r="I144" s="352"/>
      <c r="J144" s="352"/>
    </row>
    <row r="145" spans="1:10" ht="15.75" customHeight="1" x14ac:dyDescent="0.2">
      <c r="A145" s="876"/>
      <c r="B145" s="359">
        <v>53103080010000</v>
      </c>
      <c r="C145" s="360" t="s">
        <v>170</v>
      </c>
      <c r="D145" s="366">
        <v>0</v>
      </c>
      <c r="E145" s="367">
        <v>0</v>
      </c>
      <c r="F145" s="368">
        <v>0</v>
      </c>
      <c r="G145" s="364">
        <f>E145*F145</f>
        <v>0</v>
      </c>
      <c r="H145" s="365">
        <f>D145+G145</f>
        <v>0</v>
      </c>
      <c r="I145" s="352"/>
      <c r="J145" s="352"/>
    </row>
    <row r="146" spans="1:10" ht="15.75" customHeight="1" x14ac:dyDescent="0.2">
      <c r="A146" s="876"/>
      <c r="B146" s="353"/>
      <c r="C146" s="354" t="s">
        <v>16</v>
      </c>
      <c r="D146" s="355">
        <f>SUM(D147:D166)</f>
        <v>0</v>
      </c>
      <c r="E146" s="356"/>
      <c r="F146" s="356"/>
      <c r="G146" s="355">
        <f>SUM(G147:G166)</f>
        <v>0</v>
      </c>
      <c r="H146" s="358">
        <f>SUM(H147:H166)</f>
        <v>0</v>
      </c>
      <c r="I146" s="352"/>
      <c r="J146" s="352"/>
    </row>
    <row r="147" spans="1:10" ht="15.75" customHeight="1" x14ac:dyDescent="0.2">
      <c r="A147" s="876"/>
      <c r="B147" s="359">
        <v>53201010100000</v>
      </c>
      <c r="C147" s="371" t="s">
        <v>171</v>
      </c>
      <c r="D147" s="366">
        <v>0</v>
      </c>
      <c r="E147" s="367">
        <v>0</v>
      </c>
      <c r="F147" s="368">
        <v>0</v>
      </c>
      <c r="G147" s="364">
        <f t="shared" ref="G147:G166" si="29">E147*F147</f>
        <v>0</v>
      </c>
      <c r="H147" s="365">
        <f t="shared" ref="H147:H166" si="30">D147+G147</f>
        <v>0</v>
      </c>
      <c r="I147" s="352"/>
      <c r="J147" s="352"/>
    </row>
    <row r="148" spans="1:10" ht="15.75" customHeight="1" x14ac:dyDescent="0.2">
      <c r="A148" s="876"/>
      <c r="B148" s="359">
        <v>53201010100000</v>
      </c>
      <c r="C148" s="371" t="s">
        <v>172</v>
      </c>
      <c r="D148" s="366">
        <v>0</v>
      </c>
      <c r="E148" s="367">
        <v>0</v>
      </c>
      <c r="F148" s="368">
        <v>0</v>
      </c>
      <c r="G148" s="364">
        <f t="shared" si="29"/>
        <v>0</v>
      </c>
      <c r="H148" s="365">
        <f t="shared" si="30"/>
        <v>0</v>
      </c>
      <c r="I148" s="352"/>
      <c r="J148" s="352"/>
    </row>
    <row r="149" spans="1:10" ht="15.75" customHeight="1" x14ac:dyDescent="0.2">
      <c r="A149" s="876"/>
      <c r="B149" s="359">
        <v>53201010100000</v>
      </c>
      <c r="C149" s="371" t="s">
        <v>173</v>
      </c>
      <c r="D149" s="366">
        <v>0</v>
      </c>
      <c r="E149" s="367">
        <v>0</v>
      </c>
      <c r="F149" s="368">
        <v>0</v>
      </c>
      <c r="G149" s="364">
        <f t="shared" si="29"/>
        <v>0</v>
      </c>
      <c r="H149" s="365">
        <f t="shared" si="30"/>
        <v>0</v>
      </c>
      <c r="I149" s="352"/>
      <c r="J149" s="352"/>
    </row>
    <row r="150" spans="1:10" ht="15.75" customHeight="1" x14ac:dyDescent="0.2">
      <c r="A150" s="876"/>
      <c r="B150" s="359">
        <v>53202010100000</v>
      </c>
      <c r="C150" s="360" t="s">
        <v>174</v>
      </c>
      <c r="D150" s="366">
        <v>0</v>
      </c>
      <c r="E150" s="367">
        <v>0</v>
      </c>
      <c r="F150" s="368">
        <v>0</v>
      </c>
      <c r="G150" s="364">
        <f t="shared" si="29"/>
        <v>0</v>
      </c>
      <c r="H150" s="365">
        <f t="shared" si="30"/>
        <v>0</v>
      </c>
      <c r="I150" s="352"/>
      <c r="J150" s="352"/>
    </row>
    <row r="151" spans="1:10" ht="15.75" customHeight="1" x14ac:dyDescent="0.2">
      <c r="A151" s="876"/>
      <c r="B151" s="359">
        <v>53203010100000</v>
      </c>
      <c r="C151" s="360" t="s">
        <v>19</v>
      </c>
      <c r="D151" s="372">
        <v>0</v>
      </c>
      <c r="E151" s="373">
        <v>0</v>
      </c>
      <c r="F151" s="374">
        <v>0</v>
      </c>
      <c r="G151" s="364">
        <f t="shared" si="29"/>
        <v>0</v>
      </c>
      <c r="H151" s="365">
        <f t="shared" si="30"/>
        <v>0</v>
      </c>
      <c r="I151" s="352"/>
      <c r="J151" s="352"/>
    </row>
    <row r="152" spans="1:10" ht="15.75" customHeight="1" x14ac:dyDescent="0.2">
      <c r="A152" s="876"/>
      <c r="B152" s="359">
        <v>53203030000000</v>
      </c>
      <c r="C152" s="360" t="s">
        <v>175</v>
      </c>
      <c r="D152" s="372">
        <v>0</v>
      </c>
      <c r="E152" s="373">
        <v>0</v>
      </c>
      <c r="F152" s="374">
        <v>0</v>
      </c>
      <c r="G152" s="364">
        <f t="shared" si="29"/>
        <v>0</v>
      </c>
      <c r="H152" s="365">
        <f t="shared" si="30"/>
        <v>0</v>
      </c>
      <c r="I152" s="352"/>
      <c r="J152" s="352"/>
    </row>
    <row r="153" spans="1:10" ht="15.75" customHeight="1" x14ac:dyDescent="0.2">
      <c r="A153" s="876"/>
      <c r="B153" s="359">
        <v>53204030000000</v>
      </c>
      <c r="C153" s="360" t="s">
        <v>210</v>
      </c>
      <c r="D153" s="372">
        <v>0</v>
      </c>
      <c r="E153" s="373">
        <v>0</v>
      </c>
      <c r="F153" s="374">
        <v>0</v>
      </c>
      <c r="G153" s="364">
        <f t="shared" si="29"/>
        <v>0</v>
      </c>
      <c r="H153" s="365">
        <f>D153+G153</f>
        <v>0</v>
      </c>
      <c r="I153" s="352"/>
      <c r="J153" s="352"/>
    </row>
    <row r="154" spans="1:10" ht="15.75" customHeight="1" x14ac:dyDescent="0.2">
      <c r="A154" s="876"/>
      <c r="B154" s="359">
        <v>53204100100001</v>
      </c>
      <c r="C154" s="360" t="s">
        <v>22</v>
      </c>
      <c r="D154" s="372">
        <v>0</v>
      </c>
      <c r="E154" s="373">
        <v>0</v>
      </c>
      <c r="F154" s="374">
        <v>0</v>
      </c>
      <c r="G154" s="364">
        <f t="shared" si="29"/>
        <v>0</v>
      </c>
      <c r="H154" s="365">
        <f t="shared" si="30"/>
        <v>0</v>
      </c>
      <c r="I154" s="352"/>
      <c r="J154" s="352"/>
    </row>
    <row r="155" spans="1:10" ht="15.75" customHeight="1" x14ac:dyDescent="0.2">
      <c r="A155" s="876"/>
      <c r="B155" s="359">
        <v>53204130100000</v>
      </c>
      <c r="C155" s="360" t="s">
        <v>177</v>
      </c>
      <c r="D155" s="372">
        <v>0</v>
      </c>
      <c r="E155" s="373">
        <v>0</v>
      </c>
      <c r="F155" s="374">
        <v>0</v>
      </c>
      <c r="G155" s="364">
        <f t="shared" si="29"/>
        <v>0</v>
      </c>
      <c r="H155" s="365">
        <f t="shared" si="30"/>
        <v>0</v>
      </c>
      <c r="I155" s="352"/>
      <c r="J155" s="352"/>
    </row>
    <row r="156" spans="1:10" ht="15.75" customHeight="1" x14ac:dyDescent="0.2">
      <c r="A156" s="876"/>
      <c r="B156" s="359">
        <v>53205010100000</v>
      </c>
      <c r="C156" s="360" t="s">
        <v>24</v>
      </c>
      <c r="D156" s="372">
        <v>0</v>
      </c>
      <c r="E156" s="373">
        <v>0</v>
      </c>
      <c r="F156" s="374">
        <v>0</v>
      </c>
      <c r="G156" s="364">
        <f t="shared" si="29"/>
        <v>0</v>
      </c>
      <c r="H156" s="365">
        <f t="shared" si="30"/>
        <v>0</v>
      </c>
      <c r="I156" s="352"/>
      <c r="J156" s="352"/>
    </row>
    <row r="157" spans="1:10" ht="15.75" customHeight="1" x14ac:dyDescent="0.2">
      <c r="A157" s="876"/>
      <c r="B157" s="359">
        <v>53205020100000</v>
      </c>
      <c r="C157" s="360" t="s">
        <v>25</v>
      </c>
      <c r="D157" s="372">
        <v>0</v>
      </c>
      <c r="E157" s="373">
        <v>0</v>
      </c>
      <c r="F157" s="374">
        <v>0</v>
      </c>
      <c r="G157" s="364">
        <f t="shared" si="29"/>
        <v>0</v>
      </c>
      <c r="H157" s="365">
        <f t="shared" si="30"/>
        <v>0</v>
      </c>
      <c r="I157" s="352"/>
      <c r="J157" s="352"/>
    </row>
    <row r="158" spans="1:10" ht="15.75" customHeight="1" x14ac:dyDescent="0.2">
      <c r="A158" s="876"/>
      <c r="B158" s="359">
        <v>53205030100000</v>
      </c>
      <c r="C158" s="360" t="s">
        <v>26</v>
      </c>
      <c r="D158" s="372">
        <v>0</v>
      </c>
      <c r="E158" s="373">
        <v>0</v>
      </c>
      <c r="F158" s="374">
        <v>0</v>
      </c>
      <c r="G158" s="364">
        <f t="shared" si="29"/>
        <v>0</v>
      </c>
      <c r="H158" s="365">
        <f t="shared" si="30"/>
        <v>0</v>
      </c>
      <c r="I158" s="352"/>
      <c r="J158" s="352"/>
    </row>
    <row r="159" spans="1:10" ht="15.75" customHeight="1" x14ac:dyDescent="0.2">
      <c r="A159" s="876"/>
      <c r="B159" s="359">
        <v>53205050100000</v>
      </c>
      <c r="C159" s="360" t="s">
        <v>27</v>
      </c>
      <c r="D159" s="372">
        <v>0</v>
      </c>
      <c r="E159" s="373">
        <v>0</v>
      </c>
      <c r="F159" s="374">
        <v>0</v>
      </c>
      <c r="G159" s="364">
        <f t="shared" si="29"/>
        <v>0</v>
      </c>
      <c r="H159" s="365">
        <f t="shared" si="30"/>
        <v>0</v>
      </c>
      <c r="I159" s="352"/>
      <c r="J159" s="352"/>
    </row>
    <row r="160" spans="1:10" ht="15.75" customHeight="1" x14ac:dyDescent="0.2">
      <c r="A160" s="876"/>
      <c r="B160" s="359">
        <v>53205070100000</v>
      </c>
      <c r="C160" s="360" t="s">
        <v>29</v>
      </c>
      <c r="D160" s="372">
        <v>0</v>
      </c>
      <c r="E160" s="373">
        <v>0</v>
      </c>
      <c r="F160" s="374">
        <v>0</v>
      </c>
      <c r="G160" s="364">
        <f t="shared" si="29"/>
        <v>0</v>
      </c>
      <c r="H160" s="365">
        <f t="shared" si="30"/>
        <v>0</v>
      </c>
      <c r="I160" s="352"/>
      <c r="J160" s="352"/>
    </row>
    <row r="161" spans="1:10" ht="15.75" customHeight="1" x14ac:dyDescent="0.2">
      <c r="A161" s="876"/>
      <c r="B161" s="359">
        <v>53208010100000</v>
      </c>
      <c r="C161" s="360" t="s">
        <v>30</v>
      </c>
      <c r="D161" s="372">
        <v>0</v>
      </c>
      <c r="E161" s="373">
        <v>0</v>
      </c>
      <c r="F161" s="374">
        <v>0</v>
      </c>
      <c r="G161" s="364">
        <f t="shared" si="29"/>
        <v>0</v>
      </c>
      <c r="H161" s="365">
        <f t="shared" si="30"/>
        <v>0</v>
      </c>
      <c r="I161" s="352"/>
      <c r="J161" s="352"/>
    </row>
    <row r="162" spans="1:10" ht="15.75" customHeight="1" x14ac:dyDescent="0.2">
      <c r="A162" s="876"/>
      <c r="B162" s="359">
        <v>53208070100001</v>
      </c>
      <c r="C162" s="360" t="s">
        <v>31</v>
      </c>
      <c r="D162" s="366">
        <v>0</v>
      </c>
      <c r="E162" s="367">
        <v>0</v>
      </c>
      <c r="F162" s="368">
        <v>0</v>
      </c>
      <c r="G162" s="364">
        <f t="shared" si="29"/>
        <v>0</v>
      </c>
      <c r="H162" s="365">
        <f t="shared" si="30"/>
        <v>0</v>
      </c>
      <c r="I162" s="352"/>
      <c r="J162" s="352"/>
    </row>
    <row r="163" spans="1:10" ht="15.75" customHeight="1" x14ac:dyDescent="0.2">
      <c r="A163" s="876"/>
      <c r="B163" s="359">
        <v>53208100100001</v>
      </c>
      <c r="C163" s="360" t="s">
        <v>178</v>
      </c>
      <c r="D163" s="372">
        <v>0</v>
      </c>
      <c r="E163" s="373">
        <v>0</v>
      </c>
      <c r="F163" s="374">
        <v>0</v>
      </c>
      <c r="G163" s="364">
        <f t="shared" si="29"/>
        <v>0</v>
      </c>
      <c r="H163" s="365">
        <f t="shared" si="30"/>
        <v>0</v>
      </c>
      <c r="I163" s="352"/>
      <c r="J163" s="352"/>
    </row>
    <row r="164" spans="1:10" ht="15.75" customHeight="1" x14ac:dyDescent="0.2">
      <c r="A164" s="876"/>
      <c r="B164" s="359">
        <v>53211030000000</v>
      </c>
      <c r="C164" s="360" t="s">
        <v>32</v>
      </c>
      <c r="D164" s="372">
        <v>0</v>
      </c>
      <c r="E164" s="373">
        <v>0</v>
      </c>
      <c r="F164" s="374">
        <v>0</v>
      </c>
      <c r="G164" s="364">
        <f t="shared" si="29"/>
        <v>0</v>
      </c>
      <c r="H164" s="365">
        <f t="shared" si="30"/>
        <v>0</v>
      </c>
      <c r="I164" s="352"/>
      <c r="J164" s="352"/>
    </row>
    <row r="165" spans="1:10" ht="15.75" customHeight="1" x14ac:dyDescent="0.2">
      <c r="A165" s="876"/>
      <c r="B165" s="359">
        <v>53212020100000</v>
      </c>
      <c r="C165" s="360" t="s">
        <v>179</v>
      </c>
      <c r="D165" s="372">
        <v>0</v>
      </c>
      <c r="E165" s="373">
        <v>0</v>
      </c>
      <c r="F165" s="374">
        <v>0</v>
      </c>
      <c r="G165" s="364">
        <f t="shared" si="29"/>
        <v>0</v>
      </c>
      <c r="H165" s="365">
        <f t="shared" si="30"/>
        <v>0</v>
      </c>
      <c r="I165" s="352"/>
      <c r="J165" s="352"/>
    </row>
    <row r="166" spans="1:10" ht="15.75" customHeight="1" x14ac:dyDescent="0.2">
      <c r="A166" s="876"/>
      <c r="B166" s="359">
        <v>53214020000000</v>
      </c>
      <c r="C166" s="360" t="s">
        <v>180</v>
      </c>
      <c r="D166" s="366">
        <v>0</v>
      </c>
      <c r="E166" s="367">
        <v>0</v>
      </c>
      <c r="F166" s="368">
        <v>0</v>
      </c>
      <c r="G166" s="364">
        <f t="shared" si="29"/>
        <v>0</v>
      </c>
      <c r="H166" s="365">
        <f t="shared" si="30"/>
        <v>0</v>
      </c>
      <c r="I166" s="352"/>
      <c r="J166" s="352"/>
    </row>
    <row r="167" spans="1:10" ht="15.75" customHeight="1" x14ac:dyDescent="0.2">
      <c r="A167" s="876"/>
      <c r="B167" s="346"/>
      <c r="C167" s="347" t="s">
        <v>34</v>
      </c>
      <c r="D167" s="348">
        <v>0</v>
      </c>
      <c r="E167" s="349"/>
      <c r="F167" s="349"/>
      <c r="G167" s="348">
        <f>SUM(G168,G173,G175,G184,G193,G201)</f>
        <v>0</v>
      </c>
      <c r="H167" s="375">
        <f>SUM(H168,H173,H175,H184,H193,H201)</f>
        <v>0</v>
      </c>
      <c r="I167" s="352"/>
      <c r="J167" s="352"/>
    </row>
    <row r="168" spans="1:10" ht="15.75" customHeight="1" x14ac:dyDescent="0.2">
      <c r="A168" s="876"/>
      <c r="B168" s="353"/>
      <c r="C168" s="354" t="s">
        <v>35</v>
      </c>
      <c r="D168" s="355">
        <f>SUM(D169:D172)</f>
        <v>0</v>
      </c>
      <c r="E168" s="356"/>
      <c r="F168" s="356"/>
      <c r="G168" s="376">
        <f>SUM(G169:G172)</f>
        <v>0</v>
      </c>
      <c r="H168" s="377">
        <f>SUM(H169:H172)</f>
        <v>0</v>
      </c>
      <c r="I168" s="352"/>
      <c r="J168" s="352"/>
    </row>
    <row r="169" spans="1:10" ht="15.75" customHeight="1" x14ac:dyDescent="0.2">
      <c r="A169" s="876"/>
      <c r="B169" s="359">
        <v>53202020100000</v>
      </c>
      <c r="C169" s="360" t="s">
        <v>181</v>
      </c>
      <c r="D169" s="366">
        <v>0</v>
      </c>
      <c r="E169" s="367">
        <v>0</v>
      </c>
      <c r="F169" s="368">
        <v>0</v>
      </c>
      <c r="G169" s="364">
        <f>E169*F169</f>
        <v>0</v>
      </c>
      <c r="H169" s="365">
        <f t="shared" ref="H169:H202" si="31">D169+G169</f>
        <v>0</v>
      </c>
      <c r="I169" s="352"/>
      <c r="J169" s="352"/>
    </row>
    <row r="170" spans="1:10" ht="15.75" customHeight="1" x14ac:dyDescent="0.2">
      <c r="A170" s="876"/>
      <c r="B170" s="359">
        <v>53202030000000</v>
      </c>
      <c r="C170" s="360" t="s">
        <v>182</v>
      </c>
      <c r="D170" s="366">
        <v>0</v>
      </c>
      <c r="E170" s="367">
        <v>0</v>
      </c>
      <c r="F170" s="368">
        <v>0</v>
      </c>
      <c r="G170" s="364">
        <f t="shared" ref="G170:G202" si="32">E170*F170</f>
        <v>0</v>
      </c>
      <c r="H170" s="365">
        <f t="shared" si="31"/>
        <v>0</v>
      </c>
      <c r="I170" s="352"/>
      <c r="J170" s="352"/>
    </row>
    <row r="171" spans="1:10" ht="15.75" customHeight="1" x14ac:dyDescent="0.2">
      <c r="A171" s="876"/>
      <c r="B171" s="359">
        <v>53211020000000</v>
      </c>
      <c r="C171" s="360" t="s">
        <v>41</v>
      </c>
      <c r="D171" s="373">
        <f>O111</f>
        <v>0</v>
      </c>
      <c r="E171" s="373">
        <v>0</v>
      </c>
      <c r="F171" s="373">
        <v>0</v>
      </c>
      <c r="G171" s="364">
        <f t="shared" si="32"/>
        <v>0</v>
      </c>
      <c r="H171" s="365">
        <f t="shared" si="31"/>
        <v>0</v>
      </c>
      <c r="I171" s="352"/>
      <c r="J171" s="352"/>
    </row>
    <row r="172" spans="1:10" ht="15.75" customHeight="1" x14ac:dyDescent="0.2">
      <c r="A172" s="876"/>
      <c r="B172" s="359">
        <v>53101040600000</v>
      </c>
      <c r="C172" s="360" t="s">
        <v>183</v>
      </c>
      <c r="D172" s="373">
        <f>O112</f>
        <v>0</v>
      </c>
      <c r="E172" s="373">
        <v>0</v>
      </c>
      <c r="F172" s="373">
        <v>0</v>
      </c>
      <c r="G172" s="364">
        <f t="shared" si="32"/>
        <v>0</v>
      </c>
      <c r="H172" s="365">
        <f t="shared" si="31"/>
        <v>0</v>
      </c>
      <c r="I172" s="352"/>
      <c r="J172" s="352"/>
    </row>
    <row r="173" spans="1:10" ht="15.75" customHeight="1" x14ac:dyDescent="0.2">
      <c r="A173" s="876"/>
      <c r="B173" s="353"/>
      <c r="C173" s="354" t="s">
        <v>42</v>
      </c>
      <c r="D173" s="355">
        <f>SUM(D174:D174)</f>
        <v>0</v>
      </c>
      <c r="E173" s="356"/>
      <c r="F173" s="356"/>
      <c r="G173" s="376">
        <f>SUM(G174:G174)</f>
        <v>0</v>
      </c>
      <c r="H173" s="377">
        <f>SUM(H174:H174)</f>
        <v>0</v>
      </c>
      <c r="I173" s="352"/>
      <c r="J173" s="352"/>
    </row>
    <row r="174" spans="1:10" ht="15.75" customHeight="1" x14ac:dyDescent="0.2">
      <c r="A174" s="876"/>
      <c r="B174" s="378">
        <v>53205990000000</v>
      </c>
      <c r="C174" s="360" t="s">
        <v>44</v>
      </c>
      <c r="D174" s="373">
        <v>0</v>
      </c>
      <c r="E174" s="373">
        <v>0</v>
      </c>
      <c r="F174" s="373">
        <v>0</v>
      </c>
      <c r="G174" s="364">
        <f t="shared" si="32"/>
        <v>0</v>
      </c>
      <c r="H174" s="365">
        <f t="shared" si="31"/>
        <v>0</v>
      </c>
      <c r="I174" s="352"/>
      <c r="J174" s="352"/>
    </row>
    <row r="175" spans="1:10" ht="15.75" customHeight="1" x14ac:dyDescent="0.2">
      <c r="A175" s="876"/>
      <c r="B175" s="353"/>
      <c r="C175" s="354" t="s">
        <v>45</v>
      </c>
      <c r="D175" s="355">
        <f>SUM(D176:D183)</f>
        <v>0</v>
      </c>
      <c r="E175" s="356"/>
      <c r="F175" s="356"/>
      <c r="G175" s="355">
        <f>SUM(G176:G183)</f>
        <v>0</v>
      </c>
      <c r="H175" s="358">
        <f>SUM(H176:H183)</f>
        <v>0</v>
      </c>
      <c r="I175" s="352"/>
      <c r="J175" s="352"/>
    </row>
    <row r="176" spans="1:10" ht="15.75" customHeight="1" x14ac:dyDescent="0.2">
      <c r="A176" s="876"/>
      <c r="B176" s="359">
        <v>53204010000000</v>
      </c>
      <c r="C176" s="360" t="s">
        <v>47</v>
      </c>
      <c r="D176" s="373">
        <v>0</v>
      </c>
      <c r="E176" s="373">
        <v>0</v>
      </c>
      <c r="F176" s="373">
        <v>0</v>
      </c>
      <c r="G176" s="364">
        <f t="shared" si="32"/>
        <v>0</v>
      </c>
      <c r="H176" s="365">
        <f t="shared" si="31"/>
        <v>0</v>
      </c>
      <c r="I176" s="352"/>
      <c r="J176" s="352"/>
    </row>
    <row r="177" spans="1:10" ht="15.75" customHeight="1" x14ac:dyDescent="0.2">
      <c r="A177" s="876"/>
      <c r="B177" s="378">
        <v>53204040200000</v>
      </c>
      <c r="C177" s="360" t="s">
        <v>211</v>
      </c>
      <c r="D177" s="373">
        <v>0</v>
      </c>
      <c r="E177" s="373">
        <v>0</v>
      </c>
      <c r="F177" s="373">
        <v>0</v>
      </c>
      <c r="G177" s="364">
        <f t="shared" si="32"/>
        <v>0</v>
      </c>
      <c r="H177" s="365">
        <f t="shared" si="31"/>
        <v>0</v>
      </c>
      <c r="I177" s="352"/>
      <c r="J177" s="352"/>
    </row>
    <row r="178" spans="1:10" ht="15.75" customHeight="1" x14ac:dyDescent="0.2">
      <c r="A178" s="876"/>
      <c r="B178" s="359">
        <v>53204060000000</v>
      </c>
      <c r="C178" s="360" t="s">
        <v>49</v>
      </c>
      <c r="D178" s="373">
        <v>0</v>
      </c>
      <c r="E178" s="373">
        <v>0</v>
      </c>
      <c r="F178" s="373">
        <v>0</v>
      </c>
      <c r="G178" s="364">
        <f t="shared" si="32"/>
        <v>0</v>
      </c>
      <c r="H178" s="365">
        <f t="shared" si="31"/>
        <v>0</v>
      </c>
      <c r="I178" s="352"/>
      <c r="J178" s="352"/>
    </row>
    <row r="179" spans="1:10" ht="15.75" customHeight="1" x14ac:dyDescent="0.2">
      <c r="A179" s="876"/>
      <c r="B179" s="359">
        <v>53204070000000</v>
      </c>
      <c r="C179" s="360" t="s">
        <v>50</v>
      </c>
      <c r="D179" s="373">
        <v>0</v>
      </c>
      <c r="E179" s="373">
        <v>0</v>
      </c>
      <c r="F179" s="373">
        <v>0</v>
      </c>
      <c r="G179" s="364">
        <f t="shared" si="32"/>
        <v>0</v>
      </c>
      <c r="H179" s="365">
        <f t="shared" si="31"/>
        <v>0</v>
      </c>
      <c r="I179" s="352"/>
      <c r="J179" s="352"/>
    </row>
    <row r="180" spans="1:10" ht="15.75" customHeight="1" x14ac:dyDescent="0.2">
      <c r="A180" s="876"/>
      <c r="B180" s="359">
        <v>53204080000000</v>
      </c>
      <c r="C180" s="360" t="s">
        <v>51</v>
      </c>
      <c r="D180" s="373">
        <v>0</v>
      </c>
      <c r="E180" s="373">
        <v>0</v>
      </c>
      <c r="F180" s="373">
        <v>0</v>
      </c>
      <c r="G180" s="364">
        <f t="shared" si="32"/>
        <v>0</v>
      </c>
      <c r="H180" s="365">
        <f t="shared" si="31"/>
        <v>0</v>
      </c>
      <c r="I180" s="352"/>
      <c r="J180" s="352"/>
    </row>
    <row r="181" spans="1:10" ht="15.75" customHeight="1" x14ac:dyDescent="0.2">
      <c r="A181" s="876"/>
      <c r="B181" s="359">
        <v>53214010000000</v>
      </c>
      <c r="C181" s="360" t="s">
        <v>52</v>
      </c>
      <c r="D181" s="379">
        <v>0</v>
      </c>
      <c r="E181" s="379">
        <v>0</v>
      </c>
      <c r="F181" s="379">
        <v>0</v>
      </c>
      <c r="G181" s="364">
        <f t="shared" si="32"/>
        <v>0</v>
      </c>
      <c r="H181" s="365">
        <f t="shared" si="31"/>
        <v>0</v>
      </c>
      <c r="I181" s="352"/>
      <c r="J181" s="352"/>
    </row>
    <row r="182" spans="1:10" ht="15.75" customHeight="1" x14ac:dyDescent="0.2">
      <c r="A182" s="876"/>
      <c r="B182" s="359">
        <v>53214040000000</v>
      </c>
      <c r="C182" s="360" t="s">
        <v>184</v>
      </c>
      <c r="D182" s="379">
        <v>0</v>
      </c>
      <c r="E182" s="379">
        <v>0</v>
      </c>
      <c r="F182" s="379">
        <v>0</v>
      </c>
      <c r="G182" s="364">
        <f t="shared" si="32"/>
        <v>0</v>
      </c>
      <c r="H182" s="365">
        <f t="shared" si="31"/>
        <v>0</v>
      </c>
      <c r="I182" s="352"/>
      <c r="J182" s="352"/>
    </row>
    <row r="183" spans="1:10" ht="15.75" customHeight="1" x14ac:dyDescent="0.2">
      <c r="A183" s="876"/>
      <c r="B183" s="369">
        <v>53204020100000</v>
      </c>
      <c r="C183" s="360" t="s">
        <v>176</v>
      </c>
      <c r="D183" s="373">
        <v>0</v>
      </c>
      <c r="E183" s="373">
        <v>0</v>
      </c>
      <c r="F183" s="373">
        <v>0</v>
      </c>
      <c r="G183" s="364">
        <f t="shared" si="32"/>
        <v>0</v>
      </c>
      <c r="H183" s="365">
        <f t="shared" si="31"/>
        <v>0</v>
      </c>
      <c r="I183" s="352"/>
      <c r="J183" s="352"/>
    </row>
    <row r="184" spans="1:10" ht="15.75" customHeight="1" x14ac:dyDescent="0.2">
      <c r="A184" s="876"/>
      <c r="B184" s="353"/>
      <c r="C184" s="354" t="s">
        <v>55</v>
      </c>
      <c r="D184" s="355">
        <f>SUM(D185:D192)</f>
        <v>0</v>
      </c>
      <c r="E184" s="356"/>
      <c r="F184" s="356"/>
      <c r="G184" s="355">
        <f>SUM(G185:G192)</f>
        <v>0</v>
      </c>
      <c r="H184" s="358">
        <f>SUM(H185:H192)</f>
        <v>0</v>
      </c>
      <c r="I184" s="352"/>
      <c r="J184" s="352"/>
    </row>
    <row r="185" spans="1:10" ht="15.75" customHeight="1" x14ac:dyDescent="0.2">
      <c r="A185" s="876"/>
      <c r="B185" s="359">
        <v>53207010000000</v>
      </c>
      <c r="C185" s="360" t="s">
        <v>56</v>
      </c>
      <c r="D185" s="373">
        <v>0</v>
      </c>
      <c r="E185" s="373">
        <v>0</v>
      </c>
      <c r="F185" s="373">
        <v>0</v>
      </c>
      <c r="G185" s="364">
        <f t="shared" si="32"/>
        <v>0</v>
      </c>
      <c r="H185" s="365">
        <f t="shared" si="31"/>
        <v>0</v>
      </c>
      <c r="I185" s="352"/>
      <c r="J185" s="352"/>
    </row>
    <row r="186" spans="1:10" ht="15.75" customHeight="1" x14ac:dyDescent="0.2">
      <c r="A186" s="876"/>
      <c r="B186" s="359">
        <v>53207020000000</v>
      </c>
      <c r="C186" s="360" t="s">
        <v>57</v>
      </c>
      <c r="D186" s="373">
        <v>0</v>
      </c>
      <c r="E186" s="373">
        <v>0</v>
      </c>
      <c r="F186" s="373">
        <v>0</v>
      </c>
      <c r="G186" s="364">
        <f t="shared" si="32"/>
        <v>0</v>
      </c>
      <c r="H186" s="365">
        <f t="shared" si="31"/>
        <v>0</v>
      </c>
      <c r="I186" s="352"/>
      <c r="J186" s="352"/>
    </row>
    <row r="187" spans="1:10" ht="15.75" customHeight="1" x14ac:dyDescent="0.2">
      <c r="A187" s="876"/>
      <c r="B187" s="359">
        <v>53208020000000</v>
      </c>
      <c r="C187" s="360" t="s">
        <v>167</v>
      </c>
      <c r="D187" s="373">
        <v>0</v>
      </c>
      <c r="E187" s="373">
        <v>0</v>
      </c>
      <c r="F187" s="373">
        <v>0</v>
      </c>
      <c r="G187" s="364">
        <f t="shared" si="32"/>
        <v>0</v>
      </c>
      <c r="H187" s="365">
        <f t="shared" si="31"/>
        <v>0</v>
      </c>
      <c r="I187" s="352"/>
      <c r="J187" s="352"/>
    </row>
    <row r="188" spans="1:10" ht="15.75" customHeight="1" x14ac:dyDescent="0.2">
      <c r="A188" s="876"/>
      <c r="B188" s="359">
        <v>53208990000000</v>
      </c>
      <c r="C188" s="360" t="s">
        <v>185</v>
      </c>
      <c r="D188" s="373">
        <v>0</v>
      </c>
      <c r="E188" s="373">
        <v>0</v>
      </c>
      <c r="F188" s="373">
        <v>0</v>
      </c>
      <c r="G188" s="364">
        <f t="shared" si="32"/>
        <v>0</v>
      </c>
      <c r="H188" s="365">
        <f t="shared" si="31"/>
        <v>0</v>
      </c>
      <c r="I188" s="352"/>
      <c r="J188" s="352"/>
    </row>
    <row r="189" spans="1:10" ht="15.75" customHeight="1" x14ac:dyDescent="0.2">
      <c r="A189" s="876"/>
      <c r="B189" s="369">
        <v>53210020300000</v>
      </c>
      <c r="C189" s="360" t="s">
        <v>187</v>
      </c>
      <c r="D189" s="372">
        <v>0</v>
      </c>
      <c r="E189" s="372">
        <v>0</v>
      </c>
      <c r="F189" s="374">
        <v>0</v>
      </c>
      <c r="G189" s="364">
        <f t="shared" si="32"/>
        <v>0</v>
      </c>
      <c r="H189" s="365">
        <f t="shared" si="31"/>
        <v>0</v>
      </c>
      <c r="I189" s="352"/>
      <c r="J189" s="352"/>
    </row>
    <row r="190" spans="1:10" ht="15.75" customHeight="1" x14ac:dyDescent="0.2">
      <c r="A190" s="876"/>
      <c r="B190" s="359">
        <v>53208990000000</v>
      </c>
      <c r="C190" s="360" t="s">
        <v>188</v>
      </c>
      <c r="D190" s="373">
        <v>0</v>
      </c>
      <c r="E190" s="373">
        <v>0</v>
      </c>
      <c r="F190" s="373">
        <v>0</v>
      </c>
      <c r="G190" s="364">
        <f t="shared" si="32"/>
        <v>0</v>
      </c>
      <c r="H190" s="365">
        <f t="shared" si="31"/>
        <v>0</v>
      </c>
      <c r="I190" s="352"/>
      <c r="J190" s="352"/>
    </row>
    <row r="191" spans="1:10" ht="15.75" customHeight="1" x14ac:dyDescent="0.2">
      <c r="A191" s="876"/>
      <c r="B191" s="359">
        <v>53209990000000</v>
      </c>
      <c r="C191" s="360" t="s">
        <v>186</v>
      </c>
      <c r="D191" s="373">
        <v>0</v>
      </c>
      <c r="E191" s="373">
        <v>0</v>
      </c>
      <c r="F191" s="373">
        <v>0</v>
      </c>
      <c r="G191" s="364">
        <f t="shared" si="32"/>
        <v>0</v>
      </c>
      <c r="H191" s="365">
        <f t="shared" si="31"/>
        <v>0</v>
      </c>
      <c r="I191" s="352"/>
      <c r="J191" s="352"/>
    </row>
    <row r="192" spans="1:10" ht="15.75" customHeight="1" x14ac:dyDescent="0.2">
      <c r="A192" s="876"/>
      <c r="B192" s="359">
        <v>53210020100000</v>
      </c>
      <c r="C192" s="360" t="s">
        <v>64</v>
      </c>
      <c r="D192" s="373">
        <v>0</v>
      </c>
      <c r="E192" s="373">
        <v>0</v>
      </c>
      <c r="F192" s="373">
        <v>0</v>
      </c>
      <c r="G192" s="364">
        <f t="shared" si="32"/>
        <v>0</v>
      </c>
      <c r="H192" s="365">
        <f t="shared" si="31"/>
        <v>0</v>
      </c>
      <c r="I192" s="352"/>
      <c r="J192" s="352"/>
    </row>
    <row r="193" spans="1:10" ht="15.75" customHeight="1" x14ac:dyDescent="0.2">
      <c r="A193" s="876"/>
      <c r="B193" s="353"/>
      <c r="C193" s="354" t="s">
        <v>65</v>
      </c>
      <c r="D193" s="355">
        <f>SUM(D194:D200)</f>
        <v>0</v>
      </c>
      <c r="E193" s="356"/>
      <c r="F193" s="356"/>
      <c r="G193" s="355">
        <f>SUM(G194:G200)</f>
        <v>0</v>
      </c>
      <c r="H193" s="358">
        <f>SUM(H194:H200)</f>
        <v>0</v>
      </c>
      <c r="I193" s="352"/>
      <c r="J193" s="352"/>
    </row>
    <row r="194" spans="1:10" ht="15.75" customHeight="1" x14ac:dyDescent="0.2">
      <c r="A194" s="876"/>
      <c r="B194" s="359">
        <v>53206030000000</v>
      </c>
      <c r="C194" s="360" t="s">
        <v>99</v>
      </c>
      <c r="D194" s="373">
        <v>0</v>
      </c>
      <c r="E194" s="373">
        <v>0</v>
      </c>
      <c r="F194" s="373">
        <v>0</v>
      </c>
      <c r="G194" s="364">
        <f t="shared" si="32"/>
        <v>0</v>
      </c>
      <c r="H194" s="365">
        <f t="shared" si="31"/>
        <v>0</v>
      </c>
      <c r="I194" s="352"/>
      <c r="J194" s="352"/>
    </row>
    <row r="195" spans="1:10" ht="15.75" customHeight="1" x14ac:dyDescent="0.2">
      <c r="A195" s="876"/>
      <c r="B195" s="359">
        <v>53206040000000</v>
      </c>
      <c r="C195" s="360" t="s">
        <v>100</v>
      </c>
      <c r="D195" s="373">
        <v>0</v>
      </c>
      <c r="E195" s="373">
        <v>0</v>
      </c>
      <c r="F195" s="373">
        <v>0</v>
      </c>
      <c r="G195" s="364">
        <f t="shared" si="32"/>
        <v>0</v>
      </c>
      <c r="H195" s="365">
        <f t="shared" si="31"/>
        <v>0</v>
      </c>
      <c r="I195" s="352"/>
      <c r="J195" s="352"/>
    </row>
    <row r="196" spans="1:10" ht="15.75" customHeight="1" x14ac:dyDescent="0.2">
      <c r="A196" s="876"/>
      <c r="B196" s="359">
        <v>53206060000000</v>
      </c>
      <c r="C196" s="360" t="s">
        <v>189</v>
      </c>
      <c r="D196" s="373">
        <v>0</v>
      </c>
      <c r="E196" s="373">
        <v>0</v>
      </c>
      <c r="F196" s="373">
        <v>0</v>
      </c>
      <c r="G196" s="364">
        <f t="shared" si="32"/>
        <v>0</v>
      </c>
      <c r="H196" s="365">
        <f t="shared" si="31"/>
        <v>0</v>
      </c>
      <c r="I196" s="352"/>
      <c r="J196" s="352"/>
    </row>
    <row r="197" spans="1:10" ht="15.75" customHeight="1" x14ac:dyDescent="0.2">
      <c r="A197" s="876"/>
      <c r="B197" s="359">
        <v>53206070000000</v>
      </c>
      <c r="C197" s="360" t="s">
        <v>102</v>
      </c>
      <c r="D197" s="373">
        <v>0</v>
      </c>
      <c r="E197" s="373">
        <v>0</v>
      </c>
      <c r="F197" s="373">
        <v>0</v>
      </c>
      <c r="G197" s="364">
        <f t="shared" si="32"/>
        <v>0</v>
      </c>
      <c r="H197" s="365">
        <f t="shared" si="31"/>
        <v>0</v>
      </c>
      <c r="I197" s="352"/>
      <c r="J197" s="352"/>
    </row>
    <row r="198" spans="1:10" ht="15.75" customHeight="1" x14ac:dyDescent="0.2">
      <c r="A198" s="876"/>
      <c r="B198" s="359">
        <v>53206990000000</v>
      </c>
      <c r="C198" s="360" t="s">
        <v>190</v>
      </c>
      <c r="D198" s="373">
        <v>0</v>
      </c>
      <c r="E198" s="373">
        <v>0</v>
      </c>
      <c r="F198" s="373">
        <v>0</v>
      </c>
      <c r="G198" s="364">
        <f t="shared" si="32"/>
        <v>0</v>
      </c>
      <c r="H198" s="365">
        <f t="shared" si="31"/>
        <v>0</v>
      </c>
      <c r="I198" s="352"/>
      <c r="J198" s="352"/>
    </row>
    <row r="199" spans="1:10" ht="15.75" customHeight="1" x14ac:dyDescent="0.2">
      <c r="A199" s="876"/>
      <c r="B199" s="359">
        <v>53208030000000</v>
      </c>
      <c r="C199" s="360" t="s">
        <v>104</v>
      </c>
      <c r="D199" s="373">
        <v>0</v>
      </c>
      <c r="E199" s="373">
        <v>0</v>
      </c>
      <c r="F199" s="373">
        <v>0</v>
      </c>
      <c r="G199" s="364">
        <f t="shared" si="32"/>
        <v>0</v>
      </c>
      <c r="H199" s="365">
        <f t="shared" si="31"/>
        <v>0</v>
      </c>
      <c r="I199" s="352"/>
      <c r="J199" s="352"/>
    </row>
    <row r="200" spans="1:10" ht="15.75" customHeight="1" x14ac:dyDescent="0.2">
      <c r="A200" s="876"/>
      <c r="B200" s="359">
        <v>53206990000000</v>
      </c>
      <c r="C200" s="360" t="s">
        <v>212</v>
      </c>
      <c r="D200" s="373">
        <v>0</v>
      </c>
      <c r="E200" s="373">
        <v>0</v>
      </c>
      <c r="F200" s="373">
        <v>0</v>
      </c>
      <c r="G200" s="364">
        <f t="shared" si="32"/>
        <v>0</v>
      </c>
      <c r="H200" s="365">
        <f t="shared" si="31"/>
        <v>0</v>
      </c>
      <c r="I200" s="352"/>
      <c r="J200" s="352"/>
    </row>
    <row r="201" spans="1:10" ht="15.75" customHeight="1" x14ac:dyDescent="0.2">
      <c r="A201" s="876"/>
      <c r="B201" s="353"/>
      <c r="C201" s="354" t="s">
        <v>66</v>
      </c>
      <c r="D201" s="355">
        <f>SUM(D202:D202)</f>
        <v>0</v>
      </c>
      <c r="E201" s="356"/>
      <c r="F201" s="356"/>
      <c r="G201" s="355">
        <f>SUM(G202:G202)</f>
        <v>0</v>
      </c>
      <c r="H201" s="358">
        <f>SUM(H202:H202)</f>
        <v>0</v>
      </c>
      <c r="I201" s="352"/>
      <c r="J201" s="352"/>
    </row>
    <row r="202" spans="1:10" ht="15.75" customHeight="1" x14ac:dyDescent="0.2">
      <c r="A202" s="876"/>
      <c r="B202" s="380"/>
      <c r="C202" s="381" t="s">
        <v>213</v>
      </c>
      <c r="D202" s="366">
        <v>0</v>
      </c>
      <c r="E202" s="366">
        <v>0</v>
      </c>
      <c r="F202" s="368">
        <v>0</v>
      </c>
      <c r="G202" s="364">
        <f t="shared" si="32"/>
        <v>0</v>
      </c>
      <c r="H202" s="382">
        <f t="shared" si="31"/>
        <v>0</v>
      </c>
      <c r="I202" s="383" t="s">
        <v>214</v>
      </c>
      <c r="J202" s="452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5.75" customHeight="1" thickBot="1" x14ac:dyDescent="0.25">
      <c r="A203" s="877"/>
      <c r="B203" s="384"/>
      <c r="C203" s="385" t="s">
        <v>105</v>
      </c>
      <c r="D203" s="386">
        <f>SUM(D140,D167)</f>
        <v>0</v>
      </c>
      <c r="E203" s="387"/>
      <c r="F203" s="387"/>
      <c r="G203" s="386">
        <f>SUM(G140,G167)</f>
        <v>0</v>
      </c>
      <c r="H203" s="388">
        <f>SUM(H140,H167)</f>
        <v>0</v>
      </c>
      <c r="I203" s="389" t="s">
        <v>215</v>
      </c>
      <c r="J203" s="453">
        <f>+H203-J202</f>
        <v>0</v>
      </c>
    </row>
    <row r="204" spans="1:10" x14ac:dyDescent="0.2">
      <c r="B204" s="305"/>
      <c r="C204" s="306" t="s">
        <v>105</v>
      </c>
      <c r="D204" s="307">
        <f>SUM(D203+D75)</f>
        <v>52102699.902400002</v>
      </c>
      <c r="E204" s="307">
        <f>SUM(E203+E75)</f>
        <v>0</v>
      </c>
      <c r="F204" s="307">
        <f>SUM(F203+F75)</f>
        <v>0</v>
      </c>
      <c r="G204" s="307">
        <f>SUM(G203+G75)</f>
        <v>17297710</v>
      </c>
      <c r="H204" s="307">
        <f>SUM(H203+H75+H139)</f>
        <v>104595200.1289984</v>
      </c>
    </row>
    <row r="206" spans="1:10" x14ac:dyDescent="0.2">
      <c r="I206" s="687" t="s">
        <v>216</v>
      </c>
      <c r="J206" s="780">
        <f>SUM(J202+J74+J138)</f>
        <v>14441877</v>
      </c>
    </row>
    <row r="207" spans="1:10" x14ac:dyDescent="0.2">
      <c r="I207" s="781" t="s">
        <v>217</v>
      </c>
      <c r="J207" s="782">
        <f>SUM(J203+J75+J139)</f>
        <v>90153323.128998399</v>
      </c>
    </row>
  </sheetData>
  <sheetProtection algorithmName="SHA-512" hashValue="vlrqwcJteIeltssl/I0UE0rgi0DElFlXF8HuWUdQtoxdodQRhnJhLzIabKmY+phqekmjaZ5If7BiRZDn2TmADA==" saltValue="imH3Mldmg6wrHAEGpWIaCA==" spinCount="100000" sheet="1" objects="1" scenarios="1"/>
  <mergeCells count="15">
    <mergeCell ref="L10:L11"/>
    <mergeCell ref="M10:M11"/>
    <mergeCell ref="N10:N11"/>
    <mergeCell ref="O10:O11"/>
    <mergeCell ref="D4:E4"/>
    <mergeCell ref="E10:G10"/>
    <mergeCell ref="D10:D11"/>
    <mergeCell ref="H10:H11"/>
    <mergeCell ref="A8:C8"/>
    <mergeCell ref="A10:A11"/>
    <mergeCell ref="C10:C11"/>
    <mergeCell ref="B10:B11"/>
    <mergeCell ref="A140:A203"/>
    <mergeCell ref="A76:A139"/>
    <mergeCell ref="A12:A75"/>
  </mergeCells>
  <pageMargins left="0.85" right="0.75" top="0.57013888888888886" bottom="0.90972222222222221" header="0" footer="0.51180555555555551"/>
  <pageSetup scale="63" firstPageNumber="0" fitToHeight="12" orientation="landscape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zoomScale="70" zoomScaleNormal="70" workbookViewId="0">
      <selection activeCell="W79" sqref="W79"/>
    </sheetView>
  </sheetViews>
  <sheetFormatPr baseColWidth="10" defaultColWidth="11.42578125" defaultRowHeight="12.75" x14ac:dyDescent="0.2"/>
  <cols>
    <col min="1" max="1" width="11.5703125" style="26" customWidth="1"/>
    <col min="2" max="2" width="28" style="26" customWidth="1"/>
    <col min="3" max="3" width="28.7109375" style="26" customWidth="1"/>
    <col min="4" max="4" width="24.140625" style="26" customWidth="1"/>
    <col min="5" max="5" width="25.140625" style="26" customWidth="1"/>
    <col min="6" max="6" width="22.140625" style="26" customWidth="1"/>
    <col min="7" max="7" width="14.85546875" style="26" customWidth="1"/>
    <col min="8" max="8" width="15" style="26" customWidth="1"/>
    <col min="9" max="9" width="15.140625" style="26" customWidth="1"/>
    <col min="10" max="10" width="17.42578125" style="26" customWidth="1"/>
    <col min="11" max="11" width="19.140625" style="26" customWidth="1"/>
    <col min="12" max="12" width="4.85546875" style="26" customWidth="1"/>
    <col min="13" max="13" width="19.140625" style="26" customWidth="1"/>
    <col min="14" max="14" width="16.140625" style="26" customWidth="1"/>
    <col min="15" max="15" width="17.140625" style="26" customWidth="1"/>
    <col min="16" max="16" width="14.85546875" style="26" customWidth="1"/>
    <col min="17" max="17" width="17.7109375" style="26" customWidth="1"/>
    <col min="18" max="18" width="17.140625" style="26" customWidth="1"/>
    <col min="19" max="19" width="17.42578125" style="26" customWidth="1"/>
    <col min="20" max="20" width="5" style="26" customWidth="1"/>
    <col min="21" max="21" width="19.85546875" style="26" bestFit="1" customWidth="1"/>
    <col min="22" max="22" width="52.140625" style="26" bestFit="1" customWidth="1"/>
    <col min="23" max="23" width="18.28515625" style="26" customWidth="1"/>
    <col min="24" max="24" width="5.7109375" style="26" customWidth="1"/>
    <col min="25" max="25" width="11.42578125" style="26" customWidth="1"/>
    <col min="26" max="31" width="14.28515625" style="26" customWidth="1"/>
    <col min="32" max="32" width="11.28515625" style="26" customWidth="1"/>
    <col min="33" max="38" width="14.28515625" style="26" customWidth="1"/>
    <col min="39" max="39" width="11.42578125" style="26"/>
    <col min="40" max="45" width="14.28515625" style="26" customWidth="1"/>
    <col min="46" max="16384" width="11.42578125" style="26"/>
  </cols>
  <sheetData>
    <row r="1" spans="1:242" s="5" customFormat="1" x14ac:dyDescent="0.2">
      <c r="C1" s="6"/>
      <c r="D1" s="6"/>
      <c r="E1" s="34" t="s">
        <v>201</v>
      </c>
      <c r="F1" s="34"/>
      <c r="G1" s="34"/>
      <c r="H1" s="34"/>
      <c r="I1" s="34"/>
      <c r="J1" s="6"/>
      <c r="K1" s="6"/>
      <c r="L1" s="6"/>
      <c r="IG1" s="3"/>
      <c r="IH1" s="3"/>
    </row>
    <row r="2" spans="1:242" s="5" customFormat="1" x14ac:dyDescent="0.2">
      <c r="E2" s="34" t="s">
        <v>193</v>
      </c>
      <c r="F2" s="34"/>
      <c r="G2" s="34"/>
      <c r="H2" s="34"/>
      <c r="I2" s="34"/>
      <c r="IG2" s="3"/>
      <c r="IH2" s="3"/>
    </row>
    <row r="3" spans="1:242" s="5" customFormat="1" x14ac:dyDescent="0.2">
      <c r="B3" s="2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HX3" s="3"/>
      <c r="HY3" s="3"/>
      <c r="HZ3" s="3"/>
      <c r="IA3" s="3"/>
      <c r="IB3" s="3"/>
      <c r="IC3" s="3"/>
    </row>
    <row r="4" spans="1:242" s="5" customFormat="1" ht="18.75" customHeight="1" x14ac:dyDescent="0.2">
      <c r="B4" s="21"/>
      <c r="D4" s="688" t="s">
        <v>0</v>
      </c>
      <c r="E4" s="1066" t="str">
        <f>+'B) Reajuste Tarifas y Ocupación'!F5</f>
        <v>(DEPTO./DELEG.)</v>
      </c>
      <c r="F4" s="46"/>
      <c r="G4" s="47"/>
      <c r="H4" s="47"/>
      <c r="I4" s="47"/>
      <c r="J4" s="47"/>
      <c r="O4" s="2"/>
      <c r="HX4" s="3"/>
      <c r="HY4" s="3"/>
      <c r="HZ4" s="3"/>
      <c r="IA4" s="3"/>
      <c r="IB4" s="3"/>
      <c r="IC4" s="3"/>
    </row>
    <row r="5" spans="1:242" s="5" customFormat="1" x14ac:dyDescent="0.2">
      <c r="B5" s="21"/>
      <c r="D5" s="690"/>
      <c r="E5" s="692"/>
      <c r="F5" s="692"/>
      <c r="G5" s="692"/>
      <c r="H5" s="692"/>
      <c r="I5" s="692"/>
      <c r="J5" s="692"/>
      <c r="O5" s="2"/>
      <c r="HX5" s="3"/>
      <c r="HY5" s="3"/>
      <c r="HZ5" s="3"/>
      <c r="IA5" s="3"/>
      <c r="IB5" s="3"/>
      <c r="IC5" s="3"/>
    </row>
    <row r="6" spans="1:242" s="5" customFormat="1" ht="13.5" thickBot="1" x14ac:dyDescent="0.25">
      <c r="B6" s="21"/>
      <c r="D6" s="690"/>
      <c r="E6" s="692"/>
      <c r="F6" s="692"/>
      <c r="G6" s="692"/>
      <c r="H6" s="692"/>
      <c r="I6" s="692"/>
      <c r="J6" s="692"/>
      <c r="O6" s="2"/>
      <c r="HX6" s="3"/>
      <c r="HY6" s="3"/>
      <c r="HZ6" s="3"/>
      <c r="IA6" s="3"/>
      <c r="IB6" s="3"/>
      <c r="IC6" s="3"/>
    </row>
    <row r="7" spans="1:242" x14ac:dyDescent="0.2">
      <c r="B7" s="24"/>
      <c r="C7" s="24"/>
      <c r="D7" s="24"/>
      <c r="E7" s="24"/>
      <c r="F7" s="24"/>
      <c r="G7" s="24"/>
      <c r="H7" s="24"/>
      <c r="I7" s="24"/>
      <c r="J7" s="27"/>
      <c r="K7" s="27"/>
      <c r="L7" s="27"/>
      <c r="M7" s="27"/>
      <c r="N7" s="27"/>
      <c r="O7" s="27"/>
      <c r="P7" s="27"/>
      <c r="Q7" s="27"/>
      <c r="R7" s="27"/>
      <c r="Y7" s="153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5"/>
    </row>
    <row r="8" spans="1:242" x14ac:dyDescent="0.2">
      <c r="B8" s="24"/>
      <c r="C8" s="24"/>
      <c r="D8" s="24"/>
      <c r="E8" s="24"/>
      <c r="F8" s="24"/>
      <c r="G8" s="24"/>
      <c r="H8" s="24"/>
      <c r="I8" s="24"/>
      <c r="J8" s="27"/>
      <c r="K8" s="27"/>
      <c r="L8" s="27"/>
      <c r="M8" s="27"/>
      <c r="N8" s="27"/>
      <c r="O8" s="27"/>
      <c r="P8" s="27"/>
      <c r="Q8" s="27"/>
      <c r="R8" s="27"/>
      <c r="Y8" s="156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157"/>
    </row>
    <row r="9" spans="1:242" ht="15.75" customHeight="1" x14ac:dyDescent="0.2">
      <c r="A9" s="933" t="s">
        <v>150</v>
      </c>
      <c r="B9" s="933"/>
      <c r="C9" s="933"/>
      <c r="D9" s="933"/>
      <c r="E9" s="933"/>
      <c r="F9" s="933"/>
      <c r="G9" s="933"/>
      <c r="H9" s="933"/>
      <c r="I9" s="693"/>
      <c r="J9" s="693"/>
      <c r="K9" s="693"/>
      <c r="L9" s="693"/>
      <c r="M9" s="898" t="s">
        <v>151</v>
      </c>
      <c r="N9" s="898"/>
      <c r="O9" s="898"/>
      <c r="P9" s="898"/>
      <c r="Q9" s="898"/>
      <c r="R9" s="898"/>
      <c r="S9" s="898"/>
      <c r="U9" s="898" t="s">
        <v>152</v>
      </c>
      <c r="V9" s="898"/>
      <c r="W9" s="898"/>
      <c r="X9" s="108"/>
      <c r="Y9" s="158"/>
      <c r="Z9" s="898" t="s">
        <v>207</v>
      </c>
      <c r="AA9" s="898"/>
      <c r="AB9" s="898"/>
      <c r="AC9" s="898"/>
      <c r="AD9" s="898"/>
      <c r="AE9" s="898"/>
      <c r="AF9" s="108"/>
      <c r="AG9" s="898" t="s">
        <v>154</v>
      </c>
      <c r="AH9" s="898"/>
      <c r="AI9" s="898"/>
      <c r="AJ9" s="898"/>
      <c r="AK9" s="898"/>
      <c r="AL9" s="898"/>
      <c r="AM9" s="29"/>
      <c r="AN9" s="898" t="s">
        <v>155</v>
      </c>
      <c r="AO9" s="898"/>
      <c r="AP9" s="898"/>
      <c r="AQ9" s="898"/>
      <c r="AR9" s="898"/>
      <c r="AS9" s="898"/>
      <c r="AT9" s="157"/>
    </row>
    <row r="10" spans="1:242" ht="13.5" customHeight="1" x14ac:dyDescent="0.2">
      <c r="B10" s="21"/>
      <c r="C10" s="690"/>
      <c r="D10" s="690"/>
      <c r="E10" s="692"/>
      <c r="F10" s="692"/>
      <c r="G10" s="692"/>
      <c r="H10" s="692"/>
      <c r="I10" s="692"/>
      <c r="J10" s="692"/>
      <c r="M10" s="898"/>
      <c r="N10" s="898"/>
      <c r="O10" s="898"/>
      <c r="P10" s="898"/>
      <c r="Q10" s="898"/>
      <c r="R10" s="898"/>
      <c r="S10" s="898"/>
      <c r="U10" s="898"/>
      <c r="V10" s="898"/>
      <c r="W10" s="898"/>
      <c r="Y10" s="156"/>
      <c r="Z10" s="898"/>
      <c r="AA10" s="898"/>
      <c r="AB10" s="898"/>
      <c r="AC10" s="898"/>
      <c r="AD10" s="898"/>
      <c r="AE10" s="898"/>
      <c r="AF10" s="29"/>
      <c r="AG10" s="898"/>
      <c r="AH10" s="898"/>
      <c r="AI10" s="898"/>
      <c r="AJ10" s="898"/>
      <c r="AK10" s="898"/>
      <c r="AL10" s="898"/>
      <c r="AM10" s="29"/>
      <c r="AN10" s="898"/>
      <c r="AO10" s="898"/>
      <c r="AP10" s="898"/>
      <c r="AQ10" s="898"/>
      <c r="AR10" s="898"/>
      <c r="AS10" s="898"/>
      <c r="AT10" s="157"/>
    </row>
    <row r="11" spans="1:242" x14ac:dyDescent="0.2">
      <c r="J11" s="50" t="s">
        <v>4</v>
      </c>
      <c r="K11" s="49">
        <v>5.7000000000000002E-2</v>
      </c>
      <c r="Y11" s="156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157"/>
    </row>
    <row r="12" spans="1:242" ht="12.75" customHeight="1" thickBot="1" x14ac:dyDescent="0.25">
      <c r="K12" s="29"/>
      <c r="L12" s="29"/>
      <c r="M12" s="954"/>
      <c r="N12" s="954"/>
      <c r="O12" s="954"/>
      <c r="P12" s="954"/>
      <c r="Q12" s="954"/>
      <c r="R12" s="954"/>
      <c r="Y12" s="156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157"/>
    </row>
    <row r="13" spans="1:242" ht="21.75" customHeight="1" x14ac:dyDescent="0.2">
      <c r="A13" s="943" t="s">
        <v>117</v>
      </c>
      <c r="B13" s="944"/>
      <c r="C13" s="947" t="s">
        <v>73</v>
      </c>
      <c r="D13" s="947" t="s">
        <v>74</v>
      </c>
      <c r="E13" s="949" t="s">
        <v>3</v>
      </c>
      <c r="F13" s="949" t="s">
        <v>81</v>
      </c>
      <c r="G13" s="951" t="s">
        <v>238</v>
      </c>
      <c r="H13" s="952"/>
      <c r="I13" s="952"/>
      <c r="J13" s="953"/>
      <c r="K13" s="938" t="s">
        <v>239</v>
      </c>
      <c r="L13" s="27"/>
      <c r="M13" s="912" t="s">
        <v>69</v>
      </c>
      <c r="N13" s="940"/>
      <c r="O13" s="900" t="s">
        <v>70</v>
      </c>
      <c r="P13" s="901"/>
      <c r="Q13" s="941" t="s">
        <v>71</v>
      </c>
      <c r="R13" s="942"/>
      <c r="S13" s="896" t="s">
        <v>141</v>
      </c>
      <c r="U13" s="934" t="s">
        <v>75</v>
      </c>
      <c r="V13" s="936" t="s">
        <v>76</v>
      </c>
      <c r="W13" s="899" t="s">
        <v>240</v>
      </c>
      <c r="Y13" s="156"/>
      <c r="Z13" s="906" t="s">
        <v>69</v>
      </c>
      <c r="AA13" s="907"/>
      <c r="AB13" s="908" t="s">
        <v>70</v>
      </c>
      <c r="AC13" s="909"/>
      <c r="AD13" s="910" t="s">
        <v>71</v>
      </c>
      <c r="AE13" s="911"/>
      <c r="AF13" s="29"/>
      <c r="AG13" s="912" t="s">
        <v>69</v>
      </c>
      <c r="AH13" s="913"/>
      <c r="AI13" s="900" t="s">
        <v>70</v>
      </c>
      <c r="AJ13" s="901"/>
      <c r="AK13" s="902" t="s">
        <v>71</v>
      </c>
      <c r="AL13" s="903"/>
      <c r="AM13" s="29"/>
      <c r="AN13" s="912" t="s">
        <v>69</v>
      </c>
      <c r="AO13" s="913"/>
      <c r="AP13" s="900" t="s">
        <v>70</v>
      </c>
      <c r="AQ13" s="901"/>
      <c r="AR13" s="902" t="s">
        <v>71</v>
      </c>
      <c r="AS13" s="903"/>
      <c r="AT13" s="157"/>
    </row>
    <row r="14" spans="1:242" s="29" customFormat="1" ht="39" thickBot="1" x14ac:dyDescent="0.25">
      <c r="A14" s="945"/>
      <c r="B14" s="946"/>
      <c r="C14" s="948"/>
      <c r="D14" s="948"/>
      <c r="E14" s="950"/>
      <c r="F14" s="950"/>
      <c r="G14" s="390" t="s">
        <v>218</v>
      </c>
      <c r="H14" s="391" t="s">
        <v>115</v>
      </c>
      <c r="I14" s="390" t="s">
        <v>116</v>
      </c>
      <c r="J14" s="421" t="s">
        <v>237</v>
      </c>
      <c r="K14" s="939"/>
      <c r="L14" s="27"/>
      <c r="M14" s="137" t="s">
        <v>36</v>
      </c>
      <c r="N14" s="139" t="s">
        <v>37</v>
      </c>
      <c r="O14" s="147" t="s">
        <v>36</v>
      </c>
      <c r="P14" s="148" t="s">
        <v>37</v>
      </c>
      <c r="Q14" s="140" t="s">
        <v>36</v>
      </c>
      <c r="R14" s="512" t="s">
        <v>37</v>
      </c>
      <c r="S14" s="897"/>
      <c r="U14" s="935"/>
      <c r="V14" s="937"/>
      <c r="W14" s="899"/>
      <c r="Y14" s="156"/>
      <c r="Z14" s="137" t="s">
        <v>36</v>
      </c>
      <c r="AA14" s="139" t="s">
        <v>37</v>
      </c>
      <c r="AB14" s="147" t="s">
        <v>36</v>
      </c>
      <c r="AC14" s="148" t="s">
        <v>37</v>
      </c>
      <c r="AD14" s="140" t="s">
        <v>36</v>
      </c>
      <c r="AE14" s="138" t="s">
        <v>37</v>
      </c>
      <c r="AG14" s="159" t="s">
        <v>36</v>
      </c>
      <c r="AH14" s="160" t="s">
        <v>37</v>
      </c>
      <c r="AI14" s="161" t="s">
        <v>36</v>
      </c>
      <c r="AJ14" s="162" t="s">
        <v>37</v>
      </c>
      <c r="AK14" s="163" t="s">
        <v>36</v>
      </c>
      <c r="AL14" s="164" t="s">
        <v>37</v>
      </c>
      <c r="AN14" s="904" t="s">
        <v>142</v>
      </c>
      <c r="AO14" s="905"/>
      <c r="AP14" s="891" t="s">
        <v>142</v>
      </c>
      <c r="AQ14" s="892"/>
      <c r="AR14" s="893" t="s">
        <v>143</v>
      </c>
      <c r="AS14" s="894"/>
      <c r="AT14" s="157"/>
    </row>
    <row r="15" spans="1:242" s="29" customFormat="1" ht="12.75" customHeight="1" thickBot="1" x14ac:dyDescent="0.25">
      <c r="A15" s="920" t="s">
        <v>137</v>
      </c>
      <c r="B15" s="923" t="s">
        <v>93</v>
      </c>
      <c r="C15" s="392" t="s">
        <v>361</v>
      </c>
      <c r="D15" s="337" t="s">
        <v>362</v>
      </c>
      <c r="E15" s="393" t="s">
        <v>363</v>
      </c>
      <c r="F15" s="394" t="s">
        <v>118</v>
      </c>
      <c r="G15" s="338">
        <v>11523642.600000001</v>
      </c>
      <c r="H15" s="338">
        <v>150474</v>
      </c>
      <c r="I15" s="395">
        <v>127692</v>
      </c>
      <c r="J15" s="396">
        <f>SUM(G15:I15)</f>
        <v>11801808.600000001</v>
      </c>
      <c r="K15" s="397">
        <f t="shared" ref="K15:K69" si="0">+J15*(1+$K$11)</f>
        <v>12474511.690200001</v>
      </c>
      <c r="L15" s="27"/>
      <c r="M15" s="121">
        <v>0.45</v>
      </c>
      <c r="N15" s="133">
        <f t="shared" ref="N15:N61" si="1">+$K15*M15</f>
        <v>5613530.260590001</v>
      </c>
      <c r="O15" s="121">
        <v>0.35</v>
      </c>
      <c r="P15" s="144">
        <f t="shared" ref="P15:P61" si="2">+$K15*O15</f>
        <v>4366079.0915700002</v>
      </c>
      <c r="Q15" s="141">
        <v>0.05</v>
      </c>
      <c r="R15" s="513">
        <f t="shared" ref="R15:R61" si="3">+$K15*Q15</f>
        <v>623725.58451000007</v>
      </c>
      <c r="S15" s="555">
        <f>+M15+O15+Q15</f>
        <v>0.85000000000000009</v>
      </c>
      <c r="U15" s="112"/>
      <c r="V15" s="109" t="s">
        <v>11</v>
      </c>
      <c r="W15" s="115">
        <f>SUM(W16,W20)</f>
        <v>-5310000</v>
      </c>
      <c r="Y15" s="156"/>
      <c r="Z15" s="149">
        <f t="shared" ref="Z15:AE15" si="4">+M62</f>
        <v>0.47651063006826694</v>
      </c>
      <c r="AA15" s="151">
        <f t="shared" si="4"/>
        <v>36646900.562711321</v>
      </c>
      <c r="AB15" s="149">
        <f t="shared" si="4"/>
        <v>0.3216605258685129</v>
      </c>
      <c r="AC15" s="152">
        <f t="shared" si="4"/>
        <v>24737876.896395881</v>
      </c>
      <c r="AD15" s="150">
        <f t="shared" si="4"/>
        <v>1.9373085290569227E-2</v>
      </c>
      <c r="AE15" s="152">
        <f t="shared" si="4"/>
        <v>1489921.70465264</v>
      </c>
      <c r="AG15" s="170">
        <f>+Z15</f>
        <v>0.47651063006826694</v>
      </c>
      <c r="AH15" s="165">
        <f>+AG15*W80</f>
        <v>-3140205.0521498793</v>
      </c>
      <c r="AI15" s="171">
        <f>+AB15</f>
        <v>0.3216605258685129</v>
      </c>
      <c r="AJ15" s="165">
        <f>+AI15*W80</f>
        <v>-2119742.8654735</v>
      </c>
      <c r="AK15" s="172">
        <f>+AD15</f>
        <v>1.9373085290569227E-2</v>
      </c>
      <c r="AL15" s="166">
        <f>+AK15*W80</f>
        <v>-127668.6320648512</v>
      </c>
      <c r="AN15" s="889">
        <f>+AH15+AA15</f>
        <v>33506695.51056144</v>
      </c>
      <c r="AO15" s="890"/>
      <c r="AP15" s="889">
        <f>+AJ15+AC15+K70</f>
        <v>22618134.030922379</v>
      </c>
      <c r="AQ15" s="890"/>
      <c r="AR15" s="889">
        <f>+AL15+AE15</f>
        <v>1362253.0725877888</v>
      </c>
      <c r="AS15" s="895"/>
      <c r="AT15" s="157"/>
    </row>
    <row r="16" spans="1:242" s="29" customFormat="1" x14ac:dyDescent="0.2">
      <c r="A16" s="921"/>
      <c r="B16" s="924"/>
      <c r="C16" s="398"/>
      <c r="D16" s="330"/>
      <c r="E16" s="399"/>
      <c r="F16" s="400"/>
      <c r="G16" s="327"/>
      <c r="H16" s="327"/>
      <c r="I16" s="401"/>
      <c r="J16" s="402">
        <f t="shared" ref="J16:J69" si="5">SUM(G16:I16)</f>
        <v>0</v>
      </c>
      <c r="K16" s="403">
        <f t="shared" si="0"/>
        <v>0</v>
      </c>
      <c r="L16" s="27"/>
      <c r="M16" s="131">
        <v>0</v>
      </c>
      <c r="N16" s="134">
        <v>0</v>
      </c>
      <c r="O16" s="131">
        <v>0</v>
      </c>
      <c r="P16" s="132">
        <v>0</v>
      </c>
      <c r="Q16" s="142">
        <v>0</v>
      </c>
      <c r="R16" s="514">
        <f t="shared" si="3"/>
        <v>0</v>
      </c>
      <c r="S16" s="556">
        <f t="shared" ref="S16:S61" si="6">+M16+O16+Q16</f>
        <v>0</v>
      </c>
      <c r="U16" s="113"/>
      <c r="V16" s="110" t="s">
        <v>12</v>
      </c>
      <c r="W16" s="116">
        <f>SUM(W17:W19)</f>
        <v>0</v>
      </c>
      <c r="Y16" s="156"/>
      <c r="AT16" s="157"/>
    </row>
    <row r="17" spans="1:46" s="29" customFormat="1" ht="12.75" customHeight="1" x14ac:dyDescent="0.2">
      <c r="A17" s="921"/>
      <c r="B17" s="924"/>
      <c r="C17" s="398" t="s">
        <v>367</v>
      </c>
      <c r="D17" s="330" t="s">
        <v>368</v>
      </c>
      <c r="E17" s="399" t="s">
        <v>369</v>
      </c>
      <c r="F17" s="400" t="s">
        <v>118</v>
      </c>
      <c r="G17" s="327">
        <v>11558230.864800001</v>
      </c>
      <c r="H17" s="327">
        <v>150474</v>
      </c>
      <c r="I17" s="401">
        <v>127692</v>
      </c>
      <c r="J17" s="402">
        <f t="shared" si="5"/>
        <v>11836396.864800001</v>
      </c>
      <c r="K17" s="403">
        <f t="shared" si="0"/>
        <v>12511071.486093599</v>
      </c>
      <c r="L17" s="27"/>
      <c r="M17" s="131">
        <v>0.6</v>
      </c>
      <c r="N17" s="134">
        <f t="shared" si="1"/>
        <v>7506642.8916561594</v>
      </c>
      <c r="O17" s="131">
        <v>0.25</v>
      </c>
      <c r="P17" s="132">
        <f t="shared" si="2"/>
        <v>3127767.8715233998</v>
      </c>
      <c r="Q17" s="142">
        <v>0.05</v>
      </c>
      <c r="R17" s="514">
        <f t="shared" si="3"/>
        <v>625553.57430467999</v>
      </c>
      <c r="S17" s="556">
        <f t="shared" si="6"/>
        <v>0.9</v>
      </c>
      <c r="U17" s="114">
        <v>53103050000000</v>
      </c>
      <c r="V17" s="111" t="s">
        <v>13</v>
      </c>
      <c r="W17" s="117">
        <v>0</v>
      </c>
      <c r="Y17" s="156"/>
      <c r="AT17" s="157"/>
    </row>
    <row r="18" spans="1:46" s="29" customFormat="1" ht="13.5" customHeight="1" thickBot="1" x14ac:dyDescent="0.25">
      <c r="A18" s="921"/>
      <c r="B18" s="924"/>
      <c r="C18" s="640" t="s">
        <v>396</v>
      </c>
      <c r="D18" s="641"/>
      <c r="E18" s="663" t="s">
        <v>395</v>
      </c>
      <c r="F18" s="664" t="s">
        <v>118</v>
      </c>
      <c r="G18" s="654">
        <v>9793524</v>
      </c>
      <c r="H18" s="654">
        <v>150474</v>
      </c>
      <c r="I18" s="665">
        <v>127692</v>
      </c>
      <c r="J18" s="666">
        <f t="shared" si="5"/>
        <v>10071690</v>
      </c>
      <c r="K18" s="667">
        <f t="shared" si="0"/>
        <v>10645776.33</v>
      </c>
      <c r="L18" s="27"/>
      <c r="M18" s="131">
        <v>0.5</v>
      </c>
      <c r="N18" s="134">
        <f t="shared" si="1"/>
        <v>5322888.165</v>
      </c>
      <c r="O18" s="131">
        <v>0.4</v>
      </c>
      <c r="P18" s="132">
        <f t="shared" si="2"/>
        <v>4258310.5320000006</v>
      </c>
      <c r="Q18" s="142">
        <v>0</v>
      </c>
      <c r="R18" s="514">
        <f t="shared" si="3"/>
        <v>0</v>
      </c>
      <c r="S18" s="556">
        <f t="shared" si="6"/>
        <v>0.9</v>
      </c>
      <c r="U18" s="114">
        <v>53103060000000</v>
      </c>
      <c r="V18" s="111" t="s">
        <v>14</v>
      </c>
      <c r="W18" s="117">
        <v>0</v>
      </c>
      <c r="Y18" s="167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9"/>
    </row>
    <row r="19" spans="1:46" s="29" customFormat="1" x14ac:dyDescent="0.2">
      <c r="A19" s="921"/>
      <c r="B19" s="924"/>
      <c r="C19" s="398" t="s">
        <v>364</v>
      </c>
      <c r="D19" s="330" t="s">
        <v>365</v>
      </c>
      <c r="E19" s="399" t="s">
        <v>366</v>
      </c>
      <c r="F19" s="400" t="s">
        <v>118</v>
      </c>
      <c r="G19" s="327">
        <v>22557659.627999999</v>
      </c>
      <c r="H19" s="327">
        <v>84115</v>
      </c>
      <c r="I19" s="401">
        <v>124786</v>
      </c>
      <c r="J19" s="402">
        <f t="shared" si="5"/>
        <v>22766560.627999999</v>
      </c>
      <c r="K19" s="403">
        <f t="shared" si="0"/>
        <v>24064254.583795998</v>
      </c>
      <c r="L19" s="27"/>
      <c r="M19" s="131">
        <v>0.55000000000000004</v>
      </c>
      <c r="N19" s="134">
        <f t="shared" si="1"/>
        <v>13235340.021087799</v>
      </c>
      <c r="O19" s="131">
        <v>0.3</v>
      </c>
      <c r="P19" s="132">
        <f t="shared" si="2"/>
        <v>7219276.3751387997</v>
      </c>
      <c r="Q19" s="142">
        <v>0.01</v>
      </c>
      <c r="R19" s="514">
        <f t="shared" si="3"/>
        <v>240642.54583795997</v>
      </c>
      <c r="S19" s="556">
        <f t="shared" si="6"/>
        <v>0.8600000000000001</v>
      </c>
      <c r="U19" s="114">
        <v>53103080010000</v>
      </c>
      <c r="V19" s="111" t="s">
        <v>15</v>
      </c>
      <c r="W19" s="117">
        <v>0</v>
      </c>
    </row>
    <row r="20" spans="1:46" s="29" customFormat="1" x14ac:dyDescent="0.2">
      <c r="A20" s="921"/>
      <c r="B20" s="924"/>
      <c r="C20" s="398"/>
      <c r="D20" s="330"/>
      <c r="E20" s="399"/>
      <c r="F20" s="400" t="s">
        <v>118</v>
      </c>
      <c r="G20" s="327">
        <v>0</v>
      </c>
      <c r="H20" s="327">
        <v>0</v>
      </c>
      <c r="I20" s="401">
        <v>0</v>
      </c>
      <c r="J20" s="402">
        <f t="shared" si="5"/>
        <v>0</v>
      </c>
      <c r="K20" s="403">
        <f t="shared" si="0"/>
        <v>0</v>
      </c>
      <c r="L20" s="27"/>
      <c r="M20" s="131">
        <v>0</v>
      </c>
      <c r="N20" s="134">
        <f t="shared" si="1"/>
        <v>0</v>
      </c>
      <c r="O20" s="131">
        <v>0</v>
      </c>
      <c r="P20" s="132">
        <f t="shared" si="2"/>
        <v>0</v>
      </c>
      <c r="Q20" s="142">
        <v>0</v>
      </c>
      <c r="R20" s="514">
        <f t="shared" si="3"/>
        <v>0</v>
      </c>
      <c r="S20" s="556">
        <f t="shared" si="6"/>
        <v>0</v>
      </c>
      <c r="U20" s="113"/>
      <c r="V20" s="110" t="s">
        <v>16</v>
      </c>
      <c r="W20" s="116">
        <f>SUM(W21:W39)</f>
        <v>-5310000</v>
      </c>
    </row>
    <row r="21" spans="1:46" s="29" customFormat="1" x14ac:dyDescent="0.2">
      <c r="A21" s="921"/>
      <c r="B21" s="924"/>
      <c r="C21" s="398"/>
      <c r="D21" s="330"/>
      <c r="E21" s="399"/>
      <c r="F21" s="400" t="s">
        <v>118</v>
      </c>
      <c r="G21" s="327">
        <v>0</v>
      </c>
      <c r="H21" s="327">
        <v>0</v>
      </c>
      <c r="I21" s="401">
        <v>0</v>
      </c>
      <c r="J21" s="402">
        <f t="shared" si="5"/>
        <v>0</v>
      </c>
      <c r="K21" s="403">
        <f t="shared" si="0"/>
        <v>0</v>
      </c>
      <c r="L21" s="27"/>
      <c r="M21" s="131">
        <v>0</v>
      </c>
      <c r="N21" s="134">
        <f t="shared" si="1"/>
        <v>0</v>
      </c>
      <c r="O21" s="131">
        <v>0</v>
      </c>
      <c r="P21" s="132">
        <f t="shared" si="2"/>
        <v>0</v>
      </c>
      <c r="Q21" s="142">
        <v>0</v>
      </c>
      <c r="R21" s="514">
        <f t="shared" si="3"/>
        <v>0</v>
      </c>
      <c r="S21" s="556">
        <f t="shared" si="6"/>
        <v>0</v>
      </c>
      <c r="U21" s="114">
        <v>53201010100000</v>
      </c>
      <c r="V21" s="111" t="s">
        <v>17</v>
      </c>
      <c r="W21" s="117">
        <v>3500000</v>
      </c>
    </row>
    <row r="22" spans="1:46" s="29" customFormat="1" x14ac:dyDescent="0.2">
      <c r="A22" s="921"/>
      <c r="B22" s="924"/>
      <c r="C22" s="398"/>
      <c r="D22" s="330"/>
      <c r="E22" s="399"/>
      <c r="F22" s="400" t="s">
        <v>118</v>
      </c>
      <c r="G22" s="327">
        <v>0</v>
      </c>
      <c r="H22" s="327">
        <v>0</v>
      </c>
      <c r="I22" s="401">
        <v>0</v>
      </c>
      <c r="J22" s="402">
        <f t="shared" si="5"/>
        <v>0</v>
      </c>
      <c r="K22" s="403">
        <f t="shared" si="0"/>
        <v>0</v>
      </c>
      <c r="L22" s="27"/>
      <c r="M22" s="131">
        <v>0</v>
      </c>
      <c r="N22" s="134">
        <f t="shared" si="1"/>
        <v>0</v>
      </c>
      <c r="O22" s="131">
        <v>0</v>
      </c>
      <c r="P22" s="132">
        <f t="shared" si="2"/>
        <v>0</v>
      </c>
      <c r="Q22" s="142">
        <v>0</v>
      </c>
      <c r="R22" s="514">
        <f t="shared" si="3"/>
        <v>0</v>
      </c>
      <c r="S22" s="556">
        <f t="shared" si="6"/>
        <v>0</v>
      </c>
      <c r="U22" s="114">
        <v>53202010100000</v>
      </c>
      <c r="V22" s="111" t="s">
        <v>18</v>
      </c>
      <c r="W22" s="117">
        <v>0</v>
      </c>
    </row>
    <row r="23" spans="1:46" s="29" customFormat="1" x14ac:dyDescent="0.2">
      <c r="A23" s="921"/>
      <c r="B23" s="924"/>
      <c r="C23" s="398"/>
      <c r="D23" s="330"/>
      <c r="E23" s="399"/>
      <c r="F23" s="400" t="s">
        <v>118</v>
      </c>
      <c r="G23" s="327">
        <v>0</v>
      </c>
      <c r="H23" s="327">
        <v>0</v>
      </c>
      <c r="I23" s="401">
        <v>0</v>
      </c>
      <c r="J23" s="402">
        <f t="shared" si="5"/>
        <v>0</v>
      </c>
      <c r="K23" s="403">
        <f t="shared" si="0"/>
        <v>0</v>
      </c>
      <c r="L23" s="27"/>
      <c r="M23" s="131">
        <v>0</v>
      </c>
      <c r="N23" s="134">
        <f t="shared" si="1"/>
        <v>0</v>
      </c>
      <c r="O23" s="131">
        <v>0</v>
      </c>
      <c r="P23" s="132">
        <f t="shared" si="2"/>
        <v>0</v>
      </c>
      <c r="Q23" s="142">
        <v>0</v>
      </c>
      <c r="R23" s="514">
        <f t="shared" si="3"/>
        <v>0</v>
      </c>
      <c r="S23" s="556">
        <f t="shared" si="6"/>
        <v>0</v>
      </c>
      <c r="U23" s="114">
        <v>53203010100000</v>
      </c>
      <c r="V23" s="111" t="s">
        <v>19</v>
      </c>
      <c r="W23" s="117">
        <v>0</v>
      </c>
    </row>
    <row r="24" spans="1:46" s="29" customFormat="1" ht="13.5" thickBot="1" x14ac:dyDescent="0.25">
      <c r="A24" s="921"/>
      <c r="B24" s="925"/>
      <c r="C24" s="404"/>
      <c r="D24" s="328"/>
      <c r="E24" s="405"/>
      <c r="F24" s="406" t="s">
        <v>118</v>
      </c>
      <c r="G24" s="329">
        <v>0</v>
      </c>
      <c r="H24" s="329">
        <v>0</v>
      </c>
      <c r="I24" s="407">
        <v>0</v>
      </c>
      <c r="J24" s="408">
        <f t="shared" si="5"/>
        <v>0</v>
      </c>
      <c r="K24" s="409">
        <f t="shared" si="0"/>
        <v>0</v>
      </c>
      <c r="L24" s="27"/>
      <c r="M24" s="136">
        <v>0</v>
      </c>
      <c r="N24" s="135">
        <f t="shared" si="1"/>
        <v>0</v>
      </c>
      <c r="O24" s="136">
        <v>0</v>
      </c>
      <c r="P24" s="145">
        <f t="shared" si="2"/>
        <v>0</v>
      </c>
      <c r="Q24" s="143">
        <v>0</v>
      </c>
      <c r="R24" s="135">
        <f t="shared" si="3"/>
        <v>0</v>
      </c>
      <c r="S24" s="557">
        <f t="shared" si="6"/>
        <v>0</v>
      </c>
      <c r="U24" s="114">
        <v>53203030000000</v>
      </c>
      <c r="V24" s="111" t="s">
        <v>20</v>
      </c>
      <c r="W24" s="117">
        <v>0</v>
      </c>
    </row>
    <row r="25" spans="1:46" s="29" customFormat="1" ht="12.75" customHeight="1" x14ac:dyDescent="0.2">
      <c r="A25" s="921"/>
      <c r="B25" s="926" t="s">
        <v>92</v>
      </c>
      <c r="C25" s="105" t="s">
        <v>370</v>
      </c>
      <c r="D25" s="84" t="s">
        <v>371</v>
      </c>
      <c r="E25" s="85" t="s">
        <v>372</v>
      </c>
      <c r="F25" s="86" t="s">
        <v>118</v>
      </c>
      <c r="G25" s="78">
        <v>13218384.172800001</v>
      </c>
      <c r="H25" s="78">
        <v>84115</v>
      </c>
      <c r="I25" s="95">
        <v>127692</v>
      </c>
      <c r="J25" s="98">
        <f t="shared" si="5"/>
        <v>13430191.172800001</v>
      </c>
      <c r="K25" s="93">
        <f t="shared" si="0"/>
        <v>14195712.069649599</v>
      </c>
      <c r="L25" s="27"/>
      <c r="M25" s="121">
        <v>0.35</v>
      </c>
      <c r="N25" s="133">
        <f t="shared" si="1"/>
        <v>4968499.2243773593</v>
      </c>
      <c r="O25" s="121">
        <v>0.3</v>
      </c>
      <c r="P25" s="144">
        <f t="shared" si="2"/>
        <v>4258713.62089488</v>
      </c>
      <c r="Q25" s="141">
        <v>0</v>
      </c>
      <c r="R25" s="513">
        <f t="shared" si="3"/>
        <v>0</v>
      </c>
      <c r="S25" s="555">
        <f t="shared" si="6"/>
        <v>0.64999999999999991</v>
      </c>
      <c r="U25" s="114">
        <v>53204030000000</v>
      </c>
      <c r="V25" s="111" t="s">
        <v>21</v>
      </c>
      <c r="W25" s="117">
        <v>0</v>
      </c>
      <c r="AG25" s="26"/>
    </row>
    <row r="26" spans="1:46" s="29" customFormat="1" ht="12.75" customHeight="1" x14ac:dyDescent="0.2">
      <c r="A26" s="921"/>
      <c r="B26" s="927"/>
      <c r="C26" s="57"/>
      <c r="D26" s="89"/>
      <c r="E26" s="90"/>
      <c r="F26" s="91" t="s">
        <v>118</v>
      </c>
      <c r="G26" s="79">
        <v>0</v>
      </c>
      <c r="H26" s="79">
        <v>0</v>
      </c>
      <c r="I26" s="96">
        <v>0</v>
      </c>
      <c r="J26" s="99">
        <f t="shared" si="5"/>
        <v>0</v>
      </c>
      <c r="K26" s="94">
        <f t="shared" si="0"/>
        <v>0</v>
      </c>
      <c r="L26" s="27"/>
      <c r="M26" s="131">
        <v>0</v>
      </c>
      <c r="N26" s="134">
        <f t="shared" si="1"/>
        <v>0</v>
      </c>
      <c r="O26" s="131">
        <v>0</v>
      </c>
      <c r="P26" s="132">
        <f t="shared" si="2"/>
        <v>0</v>
      </c>
      <c r="Q26" s="142">
        <v>0</v>
      </c>
      <c r="R26" s="514">
        <f t="shared" si="3"/>
        <v>0</v>
      </c>
      <c r="S26" s="556">
        <f t="shared" si="6"/>
        <v>0</v>
      </c>
      <c r="U26" s="114">
        <v>53204100100001</v>
      </c>
      <c r="V26" s="111" t="s">
        <v>22</v>
      </c>
      <c r="W26" s="117">
        <v>-500000</v>
      </c>
      <c r="AG26" s="26"/>
    </row>
    <row r="27" spans="1:46" s="29" customFormat="1" ht="12.75" customHeight="1" x14ac:dyDescent="0.2">
      <c r="A27" s="921"/>
      <c r="B27" s="927"/>
      <c r="C27" s="57"/>
      <c r="D27" s="89"/>
      <c r="E27" s="90"/>
      <c r="F27" s="91" t="s">
        <v>118</v>
      </c>
      <c r="G27" s="79">
        <v>0</v>
      </c>
      <c r="H27" s="79">
        <v>0</v>
      </c>
      <c r="I27" s="96">
        <v>0</v>
      </c>
      <c r="J27" s="99">
        <f t="shared" si="5"/>
        <v>0</v>
      </c>
      <c r="K27" s="94">
        <f t="shared" si="0"/>
        <v>0</v>
      </c>
      <c r="L27" s="27"/>
      <c r="M27" s="131">
        <v>0</v>
      </c>
      <c r="N27" s="134">
        <f t="shared" si="1"/>
        <v>0</v>
      </c>
      <c r="O27" s="131">
        <v>0</v>
      </c>
      <c r="P27" s="132">
        <f t="shared" si="2"/>
        <v>0</v>
      </c>
      <c r="Q27" s="142">
        <v>0</v>
      </c>
      <c r="R27" s="514">
        <f t="shared" si="3"/>
        <v>0</v>
      </c>
      <c r="S27" s="556">
        <f t="shared" si="6"/>
        <v>0</v>
      </c>
      <c r="U27" s="114">
        <v>53204130100000</v>
      </c>
      <c r="V27" s="111" t="s">
        <v>23</v>
      </c>
      <c r="W27" s="117">
        <v>0</v>
      </c>
      <c r="AG27" s="26"/>
    </row>
    <row r="28" spans="1:46" s="29" customFormat="1" ht="12.75" customHeight="1" x14ac:dyDescent="0.2">
      <c r="A28" s="921"/>
      <c r="B28" s="927"/>
      <c r="C28" s="57"/>
      <c r="D28" s="89"/>
      <c r="E28" s="90"/>
      <c r="F28" s="91" t="s">
        <v>118</v>
      </c>
      <c r="G28" s="79">
        <v>0</v>
      </c>
      <c r="H28" s="79">
        <v>0</v>
      </c>
      <c r="I28" s="96">
        <v>0</v>
      </c>
      <c r="J28" s="99">
        <f t="shared" si="5"/>
        <v>0</v>
      </c>
      <c r="K28" s="94">
        <f t="shared" si="0"/>
        <v>0</v>
      </c>
      <c r="L28" s="27"/>
      <c r="M28" s="131">
        <v>0</v>
      </c>
      <c r="N28" s="134">
        <f t="shared" si="1"/>
        <v>0</v>
      </c>
      <c r="O28" s="131">
        <v>0</v>
      </c>
      <c r="P28" s="132">
        <f t="shared" si="2"/>
        <v>0</v>
      </c>
      <c r="Q28" s="142">
        <v>0</v>
      </c>
      <c r="R28" s="514">
        <f t="shared" si="3"/>
        <v>0</v>
      </c>
      <c r="S28" s="556">
        <f t="shared" si="6"/>
        <v>0</v>
      </c>
      <c r="U28" s="114">
        <v>53205010100000</v>
      </c>
      <c r="V28" s="111" t="s">
        <v>24</v>
      </c>
      <c r="W28" s="117">
        <v>-1850000</v>
      </c>
      <c r="AG28" s="26"/>
    </row>
    <row r="29" spans="1:46" s="29" customFormat="1" ht="12.75" customHeight="1" x14ac:dyDescent="0.2">
      <c r="A29" s="921"/>
      <c r="B29" s="927"/>
      <c r="C29" s="57"/>
      <c r="D29" s="89"/>
      <c r="E29" s="90"/>
      <c r="F29" s="91" t="s">
        <v>118</v>
      </c>
      <c r="G29" s="79">
        <v>0</v>
      </c>
      <c r="H29" s="79">
        <v>0</v>
      </c>
      <c r="I29" s="96">
        <v>0</v>
      </c>
      <c r="J29" s="99">
        <f t="shared" si="5"/>
        <v>0</v>
      </c>
      <c r="K29" s="94">
        <f t="shared" si="0"/>
        <v>0</v>
      </c>
      <c r="L29" s="27"/>
      <c r="M29" s="131">
        <v>0</v>
      </c>
      <c r="N29" s="134">
        <f t="shared" si="1"/>
        <v>0</v>
      </c>
      <c r="O29" s="131">
        <v>0</v>
      </c>
      <c r="P29" s="132">
        <f t="shared" si="2"/>
        <v>0</v>
      </c>
      <c r="Q29" s="142">
        <v>0</v>
      </c>
      <c r="R29" s="514">
        <f t="shared" si="3"/>
        <v>0</v>
      </c>
      <c r="S29" s="556">
        <f t="shared" si="6"/>
        <v>0</v>
      </c>
      <c r="U29" s="114">
        <v>53205020100000</v>
      </c>
      <c r="V29" s="111" t="s">
        <v>25</v>
      </c>
      <c r="W29" s="117">
        <v>-1210000</v>
      </c>
      <c r="AG29" s="26"/>
    </row>
    <row r="30" spans="1:46" s="29" customFormat="1" ht="12.75" customHeight="1" x14ac:dyDescent="0.2">
      <c r="A30" s="921"/>
      <c r="B30" s="927"/>
      <c r="C30" s="57"/>
      <c r="D30" s="89"/>
      <c r="E30" s="90"/>
      <c r="F30" s="91" t="s">
        <v>118</v>
      </c>
      <c r="G30" s="79">
        <v>0</v>
      </c>
      <c r="H30" s="79">
        <v>0</v>
      </c>
      <c r="I30" s="96">
        <v>0</v>
      </c>
      <c r="J30" s="99">
        <f t="shared" si="5"/>
        <v>0</v>
      </c>
      <c r="K30" s="94">
        <f t="shared" si="0"/>
        <v>0</v>
      </c>
      <c r="L30" s="27"/>
      <c r="M30" s="131">
        <v>0</v>
      </c>
      <c r="N30" s="134">
        <f t="shared" si="1"/>
        <v>0</v>
      </c>
      <c r="O30" s="131">
        <v>0</v>
      </c>
      <c r="P30" s="132">
        <f t="shared" si="2"/>
        <v>0</v>
      </c>
      <c r="Q30" s="142">
        <v>0</v>
      </c>
      <c r="R30" s="514">
        <f t="shared" si="3"/>
        <v>0</v>
      </c>
      <c r="S30" s="556">
        <f t="shared" si="6"/>
        <v>0</v>
      </c>
      <c r="U30" s="114">
        <v>53205030100000</v>
      </c>
      <c r="V30" s="111" t="s">
        <v>26</v>
      </c>
      <c r="W30" s="117">
        <v>0</v>
      </c>
      <c r="AG30" s="26"/>
    </row>
    <row r="31" spans="1:46" s="29" customFormat="1" ht="12.75" customHeight="1" x14ac:dyDescent="0.2">
      <c r="A31" s="921"/>
      <c r="B31" s="927"/>
      <c r="C31" s="57"/>
      <c r="D31" s="89"/>
      <c r="E31" s="90"/>
      <c r="F31" s="91" t="s">
        <v>118</v>
      </c>
      <c r="G31" s="79">
        <v>0</v>
      </c>
      <c r="H31" s="79">
        <v>0</v>
      </c>
      <c r="I31" s="96">
        <v>0</v>
      </c>
      <c r="J31" s="99">
        <f t="shared" si="5"/>
        <v>0</v>
      </c>
      <c r="K31" s="94">
        <f t="shared" si="0"/>
        <v>0</v>
      </c>
      <c r="L31" s="27"/>
      <c r="M31" s="131">
        <v>0</v>
      </c>
      <c r="N31" s="134">
        <f t="shared" si="1"/>
        <v>0</v>
      </c>
      <c r="O31" s="131">
        <v>0</v>
      </c>
      <c r="P31" s="132">
        <f t="shared" si="2"/>
        <v>0</v>
      </c>
      <c r="Q31" s="142">
        <v>0</v>
      </c>
      <c r="R31" s="514">
        <f t="shared" si="3"/>
        <v>0</v>
      </c>
      <c r="S31" s="556">
        <f t="shared" si="6"/>
        <v>0</v>
      </c>
      <c r="U31" s="114">
        <v>53205050100000</v>
      </c>
      <c r="V31" s="111" t="s">
        <v>27</v>
      </c>
      <c r="W31" s="117">
        <v>-1000000</v>
      </c>
      <c r="AG31" s="26"/>
    </row>
    <row r="32" spans="1:46" s="29" customFormat="1" ht="12.75" customHeight="1" x14ac:dyDescent="0.2">
      <c r="A32" s="921"/>
      <c r="B32" s="927"/>
      <c r="C32" s="57"/>
      <c r="D32" s="89"/>
      <c r="E32" s="90"/>
      <c r="F32" s="91" t="s">
        <v>118</v>
      </c>
      <c r="G32" s="79">
        <v>0</v>
      </c>
      <c r="H32" s="79">
        <v>0</v>
      </c>
      <c r="I32" s="96">
        <v>0</v>
      </c>
      <c r="J32" s="99">
        <f t="shared" si="5"/>
        <v>0</v>
      </c>
      <c r="K32" s="94">
        <f t="shared" si="0"/>
        <v>0</v>
      </c>
      <c r="L32" s="27"/>
      <c r="M32" s="131">
        <v>0</v>
      </c>
      <c r="N32" s="134">
        <f t="shared" si="1"/>
        <v>0</v>
      </c>
      <c r="O32" s="131">
        <v>0</v>
      </c>
      <c r="P32" s="132">
        <f t="shared" si="2"/>
        <v>0</v>
      </c>
      <c r="Q32" s="142">
        <v>0</v>
      </c>
      <c r="R32" s="514">
        <f t="shared" si="3"/>
        <v>0</v>
      </c>
      <c r="S32" s="556">
        <f t="shared" si="6"/>
        <v>0</v>
      </c>
      <c r="U32" s="114">
        <v>53205060100000</v>
      </c>
      <c r="V32" s="111" t="s">
        <v>28</v>
      </c>
      <c r="W32" s="117">
        <v>0</v>
      </c>
      <c r="AG32" s="26"/>
    </row>
    <row r="33" spans="1:33" s="29" customFormat="1" ht="12.75" customHeight="1" x14ac:dyDescent="0.2">
      <c r="A33" s="921"/>
      <c r="B33" s="927"/>
      <c r="C33" s="57"/>
      <c r="D33" s="89"/>
      <c r="E33" s="90"/>
      <c r="F33" s="91" t="s">
        <v>118</v>
      </c>
      <c r="G33" s="79">
        <v>0</v>
      </c>
      <c r="H33" s="79">
        <v>0</v>
      </c>
      <c r="I33" s="96">
        <v>0</v>
      </c>
      <c r="J33" s="99">
        <f t="shared" si="5"/>
        <v>0</v>
      </c>
      <c r="K33" s="94">
        <f t="shared" si="0"/>
        <v>0</v>
      </c>
      <c r="L33" s="27"/>
      <c r="M33" s="131">
        <v>0</v>
      </c>
      <c r="N33" s="134">
        <f t="shared" si="1"/>
        <v>0</v>
      </c>
      <c r="O33" s="131">
        <v>0</v>
      </c>
      <c r="P33" s="132">
        <f t="shared" si="2"/>
        <v>0</v>
      </c>
      <c r="Q33" s="142">
        <v>0</v>
      </c>
      <c r="R33" s="514">
        <f t="shared" si="3"/>
        <v>0</v>
      </c>
      <c r="S33" s="556">
        <f t="shared" si="6"/>
        <v>0</v>
      </c>
      <c r="U33" s="114">
        <v>53205070100000</v>
      </c>
      <c r="V33" s="111" t="s">
        <v>29</v>
      </c>
      <c r="W33" s="117">
        <v>0</v>
      </c>
      <c r="AG33" s="26"/>
    </row>
    <row r="34" spans="1:33" s="29" customFormat="1" ht="12.75" customHeight="1" thickBot="1" x14ac:dyDescent="0.25">
      <c r="A34" s="921"/>
      <c r="B34" s="928"/>
      <c r="C34" s="106"/>
      <c r="D34" s="80"/>
      <c r="E34" s="81"/>
      <c r="F34" s="82" t="s">
        <v>118</v>
      </c>
      <c r="G34" s="83">
        <v>0</v>
      </c>
      <c r="H34" s="83">
        <v>0</v>
      </c>
      <c r="I34" s="97">
        <v>0</v>
      </c>
      <c r="J34" s="100">
        <f t="shared" si="5"/>
        <v>0</v>
      </c>
      <c r="K34" s="92">
        <f t="shared" si="0"/>
        <v>0</v>
      </c>
      <c r="L34" s="27"/>
      <c r="M34" s="136">
        <v>0</v>
      </c>
      <c r="N34" s="135">
        <f t="shared" si="1"/>
        <v>0</v>
      </c>
      <c r="O34" s="136">
        <v>0</v>
      </c>
      <c r="P34" s="145">
        <f t="shared" si="2"/>
        <v>0</v>
      </c>
      <c r="Q34" s="143">
        <v>0</v>
      </c>
      <c r="R34" s="135">
        <f t="shared" si="3"/>
        <v>0</v>
      </c>
      <c r="S34" s="557">
        <f t="shared" si="6"/>
        <v>0</v>
      </c>
      <c r="U34" s="114">
        <v>53208010100000</v>
      </c>
      <c r="V34" s="111" t="s">
        <v>30</v>
      </c>
      <c r="W34" s="117">
        <v>0</v>
      </c>
      <c r="AG34" s="26"/>
    </row>
    <row r="35" spans="1:33" s="29" customFormat="1" ht="12.75" customHeight="1" x14ac:dyDescent="0.2">
      <c r="A35" s="921"/>
      <c r="B35" s="926" t="s">
        <v>91</v>
      </c>
      <c r="C35" s="105"/>
      <c r="D35" s="84"/>
      <c r="E35" s="85"/>
      <c r="F35" s="86" t="s">
        <v>118</v>
      </c>
      <c r="G35" s="78">
        <v>0</v>
      </c>
      <c r="H35" s="78">
        <v>0</v>
      </c>
      <c r="I35" s="95">
        <v>0</v>
      </c>
      <c r="J35" s="98">
        <f t="shared" si="5"/>
        <v>0</v>
      </c>
      <c r="K35" s="93">
        <f t="shared" si="0"/>
        <v>0</v>
      </c>
      <c r="L35" s="27"/>
      <c r="M35" s="121">
        <v>0</v>
      </c>
      <c r="N35" s="133">
        <f t="shared" si="1"/>
        <v>0</v>
      </c>
      <c r="O35" s="121">
        <v>0</v>
      </c>
      <c r="P35" s="144">
        <f t="shared" si="2"/>
        <v>0</v>
      </c>
      <c r="Q35" s="141">
        <v>0</v>
      </c>
      <c r="R35" s="513">
        <f t="shared" si="3"/>
        <v>0</v>
      </c>
      <c r="S35" s="555">
        <f t="shared" si="6"/>
        <v>0</v>
      </c>
      <c r="U35" s="114">
        <v>53208070100001</v>
      </c>
      <c r="V35" s="111" t="s">
        <v>31</v>
      </c>
      <c r="W35" s="117">
        <v>-650000</v>
      </c>
      <c r="AG35" s="26"/>
    </row>
    <row r="36" spans="1:33" s="29" customFormat="1" ht="12.75" customHeight="1" x14ac:dyDescent="0.2">
      <c r="A36" s="921"/>
      <c r="B36" s="927"/>
      <c r="C36" s="57"/>
      <c r="D36" s="89"/>
      <c r="E36" s="90"/>
      <c r="F36" s="91" t="s">
        <v>118</v>
      </c>
      <c r="G36" s="79">
        <v>0</v>
      </c>
      <c r="H36" s="79">
        <v>0</v>
      </c>
      <c r="I36" s="96">
        <v>0</v>
      </c>
      <c r="J36" s="99">
        <f t="shared" si="5"/>
        <v>0</v>
      </c>
      <c r="K36" s="94">
        <f t="shared" si="0"/>
        <v>0</v>
      </c>
      <c r="L36" s="27"/>
      <c r="M36" s="131">
        <v>0</v>
      </c>
      <c r="N36" s="134">
        <f t="shared" si="1"/>
        <v>0</v>
      </c>
      <c r="O36" s="131">
        <v>0</v>
      </c>
      <c r="P36" s="132">
        <f t="shared" si="2"/>
        <v>0</v>
      </c>
      <c r="Q36" s="142">
        <v>0</v>
      </c>
      <c r="R36" s="514">
        <f t="shared" si="3"/>
        <v>0</v>
      </c>
      <c r="S36" s="556">
        <f t="shared" si="6"/>
        <v>0</v>
      </c>
      <c r="U36" s="114">
        <v>53208100100001</v>
      </c>
      <c r="V36" s="111" t="s">
        <v>130</v>
      </c>
      <c r="W36" s="117">
        <v>0</v>
      </c>
      <c r="AG36" s="26"/>
    </row>
    <row r="37" spans="1:33" s="29" customFormat="1" ht="12.75" customHeight="1" x14ac:dyDescent="0.2">
      <c r="A37" s="921"/>
      <c r="B37" s="927"/>
      <c r="C37" s="57"/>
      <c r="D37" s="89"/>
      <c r="E37" s="90"/>
      <c r="F37" s="91" t="s">
        <v>118</v>
      </c>
      <c r="G37" s="79">
        <v>0</v>
      </c>
      <c r="H37" s="79">
        <v>0</v>
      </c>
      <c r="I37" s="96">
        <v>0</v>
      </c>
      <c r="J37" s="99">
        <f t="shared" si="5"/>
        <v>0</v>
      </c>
      <c r="K37" s="94">
        <f t="shared" si="0"/>
        <v>0</v>
      </c>
      <c r="L37" s="27"/>
      <c r="M37" s="131">
        <v>0</v>
      </c>
      <c r="N37" s="134">
        <f t="shared" si="1"/>
        <v>0</v>
      </c>
      <c r="O37" s="131">
        <v>0</v>
      </c>
      <c r="P37" s="132">
        <f t="shared" si="2"/>
        <v>0</v>
      </c>
      <c r="Q37" s="142">
        <v>0</v>
      </c>
      <c r="R37" s="514">
        <f t="shared" si="3"/>
        <v>0</v>
      </c>
      <c r="S37" s="556">
        <f t="shared" si="6"/>
        <v>0</v>
      </c>
      <c r="U37" s="114">
        <v>53211030000000</v>
      </c>
      <c r="V37" s="111" t="s">
        <v>32</v>
      </c>
      <c r="W37" s="117">
        <v>0</v>
      </c>
      <c r="AG37" s="26"/>
    </row>
    <row r="38" spans="1:33" s="29" customFormat="1" ht="12.75" customHeight="1" x14ac:dyDescent="0.2">
      <c r="A38" s="921"/>
      <c r="B38" s="927"/>
      <c r="C38" s="57"/>
      <c r="D38" s="89"/>
      <c r="E38" s="90"/>
      <c r="F38" s="91" t="s">
        <v>118</v>
      </c>
      <c r="G38" s="79">
        <v>0</v>
      </c>
      <c r="H38" s="79">
        <v>0</v>
      </c>
      <c r="I38" s="96">
        <v>0</v>
      </c>
      <c r="J38" s="99">
        <f t="shared" si="5"/>
        <v>0</v>
      </c>
      <c r="K38" s="94">
        <f t="shared" si="0"/>
        <v>0</v>
      </c>
      <c r="L38" s="27"/>
      <c r="M38" s="131">
        <v>0</v>
      </c>
      <c r="N38" s="134">
        <f t="shared" si="1"/>
        <v>0</v>
      </c>
      <c r="O38" s="131">
        <v>0</v>
      </c>
      <c r="P38" s="132">
        <f t="shared" si="2"/>
        <v>0</v>
      </c>
      <c r="Q38" s="142">
        <v>0</v>
      </c>
      <c r="R38" s="514">
        <f t="shared" si="3"/>
        <v>0</v>
      </c>
      <c r="S38" s="556">
        <f t="shared" si="6"/>
        <v>0</v>
      </c>
      <c r="U38" s="114">
        <v>53212020100000</v>
      </c>
      <c r="V38" s="111" t="s">
        <v>98</v>
      </c>
      <c r="W38" s="117">
        <v>-3600000</v>
      </c>
      <c r="AG38" s="26"/>
    </row>
    <row r="39" spans="1:33" s="29" customFormat="1" ht="12.75" customHeight="1" thickBot="1" x14ac:dyDescent="0.25">
      <c r="A39" s="921"/>
      <c r="B39" s="928"/>
      <c r="C39" s="106"/>
      <c r="D39" s="80"/>
      <c r="E39" s="81"/>
      <c r="F39" s="82" t="s">
        <v>118</v>
      </c>
      <c r="G39" s="83">
        <v>0</v>
      </c>
      <c r="H39" s="83">
        <v>0</v>
      </c>
      <c r="I39" s="97">
        <v>0</v>
      </c>
      <c r="J39" s="100">
        <f t="shared" si="5"/>
        <v>0</v>
      </c>
      <c r="K39" s="92">
        <f t="shared" si="0"/>
        <v>0</v>
      </c>
      <c r="L39" s="27"/>
      <c r="M39" s="136">
        <v>0</v>
      </c>
      <c r="N39" s="135">
        <f t="shared" si="1"/>
        <v>0</v>
      </c>
      <c r="O39" s="136">
        <v>0</v>
      </c>
      <c r="P39" s="145">
        <f t="shared" si="2"/>
        <v>0</v>
      </c>
      <c r="Q39" s="143">
        <v>0</v>
      </c>
      <c r="R39" s="135">
        <f t="shared" si="3"/>
        <v>0</v>
      </c>
      <c r="S39" s="557">
        <f t="shared" si="6"/>
        <v>0</v>
      </c>
      <c r="U39" s="114">
        <v>53214020000000</v>
      </c>
      <c r="V39" s="111" t="s">
        <v>33</v>
      </c>
      <c r="W39" s="117">
        <v>0</v>
      </c>
      <c r="AG39" s="26"/>
    </row>
    <row r="40" spans="1:33" s="29" customFormat="1" ht="12.75" customHeight="1" x14ac:dyDescent="0.2">
      <c r="A40" s="921"/>
      <c r="B40" s="929" t="s">
        <v>119</v>
      </c>
      <c r="C40" s="107" t="s">
        <v>373</v>
      </c>
      <c r="D40" s="75" t="s">
        <v>374</v>
      </c>
      <c r="E40" s="76" t="s">
        <v>375</v>
      </c>
      <c r="F40" s="77" t="s">
        <v>118</v>
      </c>
      <c r="G40" s="78">
        <v>2578230.5567999999</v>
      </c>
      <c r="H40" s="78">
        <v>150474</v>
      </c>
      <c r="I40" s="95">
        <v>124142</v>
      </c>
      <c r="J40" s="101">
        <f t="shared" ref="J40:J61" si="7">SUM(G40:I40)</f>
        <v>2852846.5567999999</v>
      </c>
      <c r="K40" s="103">
        <f t="shared" si="0"/>
        <v>3015458.8105376</v>
      </c>
      <c r="L40" s="27"/>
      <c r="M40" s="121">
        <v>0</v>
      </c>
      <c r="N40" s="133">
        <f t="shared" si="1"/>
        <v>0</v>
      </c>
      <c r="O40" s="121">
        <v>0.5</v>
      </c>
      <c r="P40" s="144">
        <f t="shared" si="2"/>
        <v>1507729.4052688</v>
      </c>
      <c r="Q40" s="141">
        <v>0</v>
      </c>
      <c r="R40" s="513">
        <f t="shared" si="3"/>
        <v>0</v>
      </c>
      <c r="S40" s="555">
        <f t="shared" si="6"/>
        <v>0.5</v>
      </c>
      <c r="U40" s="112"/>
      <c r="V40" s="109" t="s">
        <v>34</v>
      </c>
      <c r="W40" s="115">
        <f>SUM(W41,W46,W49,W60,W70,W78)</f>
        <v>-1280000</v>
      </c>
      <c r="X40" s="680" t="s">
        <v>418</v>
      </c>
      <c r="AG40" s="26"/>
    </row>
    <row r="41" spans="1:33" s="29" customFormat="1" ht="12.75" customHeight="1" x14ac:dyDescent="0.2">
      <c r="A41" s="921"/>
      <c r="B41" s="930"/>
      <c r="C41" s="58" t="s">
        <v>373</v>
      </c>
      <c r="D41" s="60" t="s">
        <v>376</v>
      </c>
      <c r="E41" s="61" t="s">
        <v>377</v>
      </c>
      <c r="F41" s="69" t="s">
        <v>118</v>
      </c>
      <c r="G41" s="79">
        <v>0</v>
      </c>
      <c r="H41" s="79">
        <v>0</v>
      </c>
      <c r="I41" s="96">
        <v>0</v>
      </c>
      <c r="J41" s="102">
        <f t="shared" ref="J41:J48" si="8">SUM(G41:I41)</f>
        <v>0</v>
      </c>
      <c r="K41" s="104">
        <f t="shared" si="0"/>
        <v>0</v>
      </c>
      <c r="L41" s="27"/>
      <c r="M41" s="131">
        <v>0.2</v>
      </c>
      <c r="N41" s="134">
        <f t="shared" si="1"/>
        <v>0</v>
      </c>
      <c r="O41" s="131">
        <v>0.1</v>
      </c>
      <c r="P41" s="132">
        <f t="shared" si="2"/>
        <v>0</v>
      </c>
      <c r="Q41" s="142">
        <v>0</v>
      </c>
      <c r="R41" s="514">
        <f t="shared" si="3"/>
        <v>0</v>
      </c>
      <c r="S41" s="556">
        <f t="shared" si="6"/>
        <v>0.30000000000000004</v>
      </c>
      <c r="U41" s="113"/>
      <c r="V41" s="110" t="s">
        <v>35</v>
      </c>
      <c r="W41" s="116">
        <f>SUM(W42:W45)</f>
        <v>-30000</v>
      </c>
      <c r="AG41" s="26"/>
    </row>
    <row r="42" spans="1:33" s="29" customFormat="1" ht="12.75" customHeight="1" x14ac:dyDescent="0.2">
      <c r="A42" s="921"/>
      <c r="B42" s="930"/>
      <c r="C42" s="58" t="s">
        <v>378</v>
      </c>
      <c r="D42" s="60" t="s">
        <v>379</v>
      </c>
      <c r="E42" s="61" t="s">
        <v>380</v>
      </c>
      <c r="F42" s="69" t="s">
        <v>118</v>
      </c>
      <c r="G42" s="79">
        <v>0</v>
      </c>
      <c r="H42" s="79">
        <v>0</v>
      </c>
      <c r="I42" s="96">
        <v>0</v>
      </c>
      <c r="J42" s="102">
        <f t="shared" si="8"/>
        <v>0</v>
      </c>
      <c r="K42" s="104">
        <f t="shared" si="0"/>
        <v>0</v>
      </c>
      <c r="L42" s="27"/>
      <c r="M42" s="131">
        <v>0.15</v>
      </c>
      <c r="N42" s="134">
        <f t="shared" si="1"/>
        <v>0</v>
      </c>
      <c r="O42" s="131">
        <v>0.1</v>
      </c>
      <c r="P42" s="132">
        <f t="shared" si="2"/>
        <v>0</v>
      </c>
      <c r="Q42" s="142">
        <v>0</v>
      </c>
      <c r="R42" s="514">
        <f t="shared" si="3"/>
        <v>0</v>
      </c>
      <c r="S42" s="556">
        <f t="shared" si="6"/>
        <v>0.25</v>
      </c>
      <c r="U42" s="114">
        <v>53202020100000</v>
      </c>
      <c r="V42" s="111" t="s">
        <v>39</v>
      </c>
      <c r="W42" s="117">
        <v>0</v>
      </c>
      <c r="AG42" s="26"/>
    </row>
    <row r="43" spans="1:33" s="29" customFormat="1" ht="12.75" customHeight="1" x14ac:dyDescent="0.2">
      <c r="A43" s="921"/>
      <c r="B43" s="930"/>
      <c r="C43" s="655" t="s">
        <v>381</v>
      </c>
      <c r="D43" s="656" t="s">
        <v>382</v>
      </c>
      <c r="E43" s="657" t="s">
        <v>383</v>
      </c>
      <c r="F43" s="658" t="s">
        <v>118</v>
      </c>
      <c r="G43" s="659">
        <v>0</v>
      </c>
      <c r="H43" s="659">
        <v>0</v>
      </c>
      <c r="I43" s="660">
        <v>0</v>
      </c>
      <c r="J43" s="661">
        <f t="shared" si="8"/>
        <v>0</v>
      </c>
      <c r="K43" s="662">
        <f t="shared" si="0"/>
        <v>0</v>
      </c>
      <c r="L43" s="27"/>
      <c r="M43" s="131">
        <v>0</v>
      </c>
      <c r="N43" s="134">
        <f t="shared" si="1"/>
        <v>0</v>
      </c>
      <c r="O43" s="131">
        <v>0</v>
      </c>
      <c r="P43" s="132">
        <f t="shared" si="2"/>
        <v>0</v>
      </c>
      <c r="Q43" s="142">
        <v>0</v>
      </c>
      <c r="R43" s="514">
        <f t="shared" si="3"/>
        <v>0</v>
      </c>
      <c r="S43" s="556">
        <f t="shared" si="6"/>
        <v>0</v>
      </c>
      <c r="U43" s="114">
        <v>53202030000000</v>
      </c>
      <c r="V43" s="111" t="s">
        <v>40</v>
      </c>
      <c r="W43" s="117">
        <v>0</v>
      </c>
      <c r="AG43" s="26"/>
    </row>
    <row r="44" spans="1:33" s="29" customFormat="1" ht="12.75" customHeight="1" x14ac:dyDescent="0.2">
      <c r="A44" s="921"/>
      <c r="B44" s="930"/>
      <c r="C44" s="655" t="s">
        <v>416</v>
      </c>
      <c r="D44" s="60"/>
      <c r="E44" s="61"/>
      <c r="F44" s="69" t="s">
        <v>118</v>
      </c>
      <c r="G44" s="79">
        <v>0</v>
      </c>
      <c r="H44" s="79">
        <v>0</v>
      </c>
      <c r="I44" s="96">
        <v>0</v>
      </c>
      <c r="J44" s="102">
        <f t="shared" si="8"/>
        <v>0</v>
      </c>
      <c r="K44" s="104">
        <f t="shared" si="0"/>
        <v>0</v>
      </c>
      <c r="L44" s="27"/>
      <c r="M44" s="131">
        <v>0</v>
      </c>
      <c r="N44" s="134">
        <f t="shared" si="1"/>
        <v>0</v>
      </c>
      <c r="O44" s="131">
        <v>0</v>
      </c>
      <c r="P44" s="132">
        <f t="shared" si="2"/>
        <v>0</v>
      </c>
      <c r="Q44" s="142">
        <v>0</v>
      </c>
      <c r="R44" s="514">
        <f t="shared" si="3"/>
        <v>0</v>
      </c>
      <c r="S44" s="556">
        <f t="shared" si="6"/>
        <v>0</v>
      </c>
      <c r="U44" s="114">
        <v>53211020000000</v>
      </c>
      <c r="V44" s="111" t="s">
        <v>41</v>
      </c>
      <c r="W44" s="117">
        <v>-250000</v>
      </c>
      <c r="AG44" s="26"/>
    </row>
    <row r="45" spans="1:33" s="29" customFormat="1" ht="12.75" customHeight="1" x14ac:dyDescent="0.2">
      <c r="A45" s="921"/>
      <c r="B45" s="930"/>
      <c r="C45" s="58"/>
      <c r="D45" s="60"/>
      <c r="E45" s="61"/>
      <c r="F45" s="69" t="s">
        <v>118</v>
      </c>
      <c r="G45" s="79">
        <v>0</v>
      </c>
      <c r="H45" s="79">
        <v>0</v>
      </c>
      <c r="I45" s="96">
        <v>0</v>
      </c>
      <c r="J45" s="102">
        <f t="shared" si="8"/>
        <v>0</v>
      </c>
      <c r="K45" s="104">
        <f t="shared" si="0"/>
        <v>0</v>
      </c>
      <c r="L45" s="27"/>
      <c r="M45" s="131">
        <v>0</v>
      </c>
      <c r="N45" s="134">
        <f t="shared" si="1"/>
        <v>0</v>
      </c>
      <c r="O45" s="131">
        <v>0</v>
      </c>
      <c r="P45" s="132">
        <f t="shared" si="2"/>
        <v>0</v>
      </c>
      <c r="Q45" s="142">
        <v>0</v>
      </c>
      <c r="R45" s="514">
        <f t="shared" si="3"/>
        <v>0</v>
      </c>
      <c r="S45" s="556">
        <f t="shared" si="6"/>
        <v>0</v>
      </c>
      <c r="U45" s="114">
        <v>53101004030000</v>
      </c>
      <c r="V45" s="111" t="s">
        <v>38</v>
      </c>
      <c r="W45" s="117">
        <v>220000</v>
      </c>
      <c r="AG45" s="26"/>
    </row>
    <row r="46" spans="1:33" s="29" customFormat="1" ht="12.75" customHeight="1" x14ac:dyDescent="0.2">
      <c r="A46" s="921"/>
      <c r="B46" s="930"/>
      <c r="C46" s="58"/>
      <c r="D46" s="60"/>
      <c r="E46" s="61"/>
      <c r="F46" s="69" t="s">
        <v>118</v>
      </c>
      <c r="G46" s="79">
        <v>0</v>
      </c>
      <c r="H46" s="79">
        <v>0</v>
      </c>
      <c r="I46" s="96">
        <v>0</v>
      </c>
      <c r="J46" s="102">
        <f t="shared" si="8"/>
        <v>0</v>
      </c>
      <c r="K46" s="104">
        <f t="shared" si="0"/>
        <v>0</v>
      </c>
      <c r="L46" s="27"/>
      <c r="M46" s="131">
        <v>0</v>
      </c>
      <c r="N46" s="134">
        <f t="shared" si="1"/>
        <v>0</v>
      </c>
      <c r="O46" s="131">
        <v>0</v>
      </c>
      <c r="P46" s="132">
        <f t="shared" si="2"/>
        <v>0</v>
      </c>
      <c r="Q46" s="142">
        <v>0</v>
      </c>
      <c r="R46" s="514">
        <f t="shared" si="3"/>
        <v>0</v>
      </c>
      <c r="S46" s="556">
        <f t="shared" si="6"/>
        <v>0</v>
      </c>
      <c r="U46" s="113"/>
      <c r="V46" s="110" t="s">
        <v>42</v>
      </c>
      <c r="W46" s="116">
        <f>SUM(W47:W48)</f>
        <v>0</v>
      </c>
      <c r="AG46" s="26"/>
    </row>
    <row r="47" spans="1:33" s="29" customFormat="1" ht="12.75" customHeight="1" x14ac:dyDescent="0.2">
      <c r="A47" s="921"/>
      <c r="B47" s="930"/>
      <c r="C47" s="58"/>
      <c r="D47" s="60"/>
      <c r="E47" s="61"/>
      <c r="F47" s="69" t="s">
        <v>118</v>
      </c>
      <c r="G47" s="79">
        <v>0</v>
      </c>
      <c r="H47" s="79">
        <v>0</v>
      </c>
      <c r="I47" s="96">
        <v>0</v>
      </c>
      <c r="J47" s="102">
        <f t="shared" si="8"/>
        <v>0</v>
      </c>
      <c r="K47" s="104">
        <f t="shared" si="0"/>
        <v>0</v>
      </c>
      <c r="L47" s="27"/>
      <c r="M47" s="131">
        <v>0</v>
      </c>
      <c r="N47" s="134">
        <f t="shared" si="1"/>
        <v>0</v>
      </c>
      <c r="O47" s="131">
        <v>0</v>
      </c>
      <c r="P47" s="132">
        <f t="shared" si="2"/>
        <v>0</v>
      </c>
      <c r="Q47" s="142">
        <v>0</v>
      </c>
      <c r="R47" s="514">
        <f t="shared" si="3"/>
        <v>0</v>
      </c>
      <c r="S47" s="556">
        <f t="shared" si="6"/>
        <v>0</v>
      </c>
      <c r="U47" s="114">
        <v>53205080000000</v>
      </c>
      <c r="V47" s="111" t="s">
        <v>43</v>
      </c>
      <c r="W47" s="117">
        <v>0</v>
      </c>
      <c r="AG47" s="26"/>
    </row>
    <row r="48" spans="1:33" s="29" customFormat="1" ht="12.75" customHeight="1" x14ac:dyDescent="0.2">
      <c r="A48" s="921"/>
      <c r="B48" s="930"/>
      <c r="C48" s="58"/>
      <c r="D48" s="60"/>
      <c r="E48" s="61"/>
      <c r="F48" s="69" t="s">
        <v>118</v>
      </c>
      <c r="G48" s="79">
        <v>0</v>
      </c>
      <c r="H48" s="79">
        <v>0</v>
      </c>
      <c r="I48" s="96">
        <v>0</v>
      </c>
      <c r="J48" s="102">
        <f t="shared" si="8"/>
        <v>0</v>
      </c>
      <c r="K48" s="104">
        <f t="shared" si="0"/>
        <v>0</v>
      </c>
      <c r="L48" s="27"/>
      <c r="M48" s="131">
        <v>0</v>
      </c>
      <c r="N48" s="134">
        <f t="shared" si="1"/>
        <v>0</v>
      </c>
      <c r="O48" s="131">
        <v>0</v>
      </c>
      <c r="P48" s="132">
        <f t="shared" si="2"/>
        <v>0</v>
      </c>
      <c r="Q48" s="142">
        <v>0</v>
      </c>
      <c r="R48" s="514">
        <f t="shared" si="3"/>
        <v>0</v>
      </c>
      <c r="S48" s="556">
        <f t="shared" si="6"/>
        <v>0</v>
      </c>
      <c r="U48" s="114">
        <v>53205990000000</v>
      </c>
      <c r="V48" s="111" t="s">
        <v>44</v>
      </c>
      <c r="W48" s="117">
        <v>0</v>
      </c>
      <c r="AG48" s="26"/>
    </row>
    <row r="49" spans="1:33" s="29" customFormat="1" ht="12.75" customHeight="1" x14ac:dyDescent="0.2">
      <c r="A49" s="921"/>
      <c r="B49" s="931"/>
      <c r="C49" s="58"/>
      <c r="D49" s="60"/>
      <c r="E49" s="61"/>
      <c r="F49" s="69" t="s">
        <v>118</v>
      </c>
      <c r="G49" s="79">
        <v>0</v>
      </c>
      <c r="H49" s="79">
        <v>0</v>
      </c>
      <c r="I49" s="96">
        <v>0</v>
      </c>
      <c r="J49" s="102">
        <f t="shared" si="7"/>
        <v>0</v>
      </c>
      <c r="K49" s="104">
        <f t="shared" si="0"/>
        <v>0</v>
      </c>
      <c r="L49" s="27"/>
      <c r="M49" s="131">
        <v>0</v>
      </c>
      <c r="N49" s="134">
        <f t="shared" si="1"/>
        <v>0</v>
      </c>
      <c r="O49" s="131">
        <v>0</v>
      </c>
      <c r="P49" s="132">
        <f t="shared" si="2"/>
        <v>0</v>
      </c>
      <c r="Q49" s="142">
        <v>0</v>
      </c>
      <c r="R49" s="514">
        <f t="shared" si="3"/>
        <v>0</v>
      </c>
      <c r="S49" s="556">
        <f t="shared" si="6"/>
        <v>0</v>
      </c>
      <c r="U49" s="113"/>
      <c r="V49" s="110" t="s">
        <v>45</v>
      </c>
      <c r="W49" s="116">
        <f>SUM(W50:W59)</f>
        <v>-5000000</v>
      </c>
      <c r="X49" s="680" t="s">
        <v>419</v>
      </c>
      <c r="AG49" s="26"/>
    </row>
    <row r="50" spans="1:33" s="29" customFormat="1" ht="12.75" customHeight="1" x14ac:dyDescent="0.2">
      <c r="A50" s="921"/>
      <c r="B50" s="930"/>
      <c r="C50" s="58"/>
      <c r="D50" s="60"/>
      <c r="E50" s="61"/>
      <c r="F50" s="69" t="s">
        <v>118</v>
      </c>
      <c r="G50" s="79">
        <v>0</v>
      </c>
      <c r="H50" s="79">
        <v>0</v>
      </c>
      <c r="I50" s="96">
        <v>0</v>
      </c>
      <c r="J50" s="102">
        <f t="shared" ref="J50:J53" si="9">SUM(G50:I50)</f>
        <v>0</v>
      </c>
      <c r="K50" s="104">
        <f t="shared" si="0"/>
        <v>0</v>
      </c>
      <c r="L50" s="27"/>
      <c r="M50" s="131">
        <v>0</v>
      </c>
      <c r="N50" s="134">
        <f t="shared" si="1"/>
        <v>0</v>
      </c>
      <c r="O50" s="131">
        <v>0</v>
      </c>
      <c r="P50" s="132">
        <f t="shared" si="2"/>
        <v>0</v>
      </c>
      <c r="Q50" s="142">
        <v>0</v>
      </c>
      <c r="R50" s="514">
        <f t="shared" si="3"/>
        <v>0</v>
      </c>
      <c r="S50" s="556">
        <f t="shared" si="6"/>
        <v>0</v>
      </c>
      <c r="U50" s="114">
        <v>53203010200000</v>
      </c>
      <c r="V50" s="111" t="s">
        <v>46</v>
      </c>
      <c r="W50" s="117">
        <v>0</v>
      </c>
      <c r="AG50" s="26"/>
    </row>
    <row r="51" spans="1:33" s="29" customFormat="1" ht="12.75" customHeight="1" x14ac:dyDescent="0.2">
      <c r="A51" s="921"/>
      <c r="B51" s="930"/>
      <c r="C51" s="58"/>
      <c r="D51" s="60"/>
      <c r="E51" s="61"/>
      <c r="F51" s="69" t="s">
        <v>118</v>
      </c>
      <c r="G51" s="79">
        <v>0</v>
      </c>
      <c r="H51" s="79">
        <v>0</v>
      </c>
      <c r="I51" s="96">
        <v>0</v>
      </c>
      <c r="J51" s="102">
        <f t="shared" si="9"/>
        <v>0</v>
      </c>
      <c r="K51" s="104">
        <f t="shared" si="0"/>
        <v>0</v>
      </c>
      <c r="L51" s="27"/>
      <c r="M51" s="131">
        <v>0</v>
      </c>
      <c r="N51" s="134">
        <f t="shared" si="1"/>
        <v>0</v>
      </c>
      <c r="O51" s="131">
        <v>0</v>
      </c>
      <c r="P51" s="132">
        <f t="shared" si="2"/>
        <v>0</v>
      </c>
      <c r="Q51" s="142">
        <v>0</v>
      </c>
      <c r="R51" s="514">
        <f t="shared" si="3"/>
        <v>0</v>
      </c>
      <c r="S51" s="556">
        <f t="shared" si="6"/>
        <v>0</v>
      </c>
      <c r="U51" s="114">
        <v>53204010000000</v>
      </c>
      <c r="V51" s="111" t="s">
        <v>47</v>
      </c>
      <c r="W51" s="117">
        <v>-2600000</v>
      </c>
      <c r="AG51" s="26"/>
    </row>
    <row r="52" spans="1:33" s="29" customFormat="1" ht="12.75" customHeight="1" x14ac:dyDescent="0.2">
      <c r="A52" s="921"/>
      <c r="B52" s="930"/>
      <c r="C52" s="58"/>
      <c r="D52" s="60"/>
      <c r="E52" s="61"/>
      <c r="F52" s="69" t="s">
        <v>118</v>
      </c>
      <c r="G52" s="79">
        <v>0</v>
      </c>
      <c r="H52" s="79">
        <v>0</v>
      </c>
      <c r="I52" s="96">
        <v>0</v>
      </c>
      <c r="J52" s="102">
        <f t="shared" si="9"/>
        <v>0</v>
      </c>
      <c r="K52" s="104">
        <f t="shared" si="0"/>
        <v>0</v>
      </c>
      <c r="L52" s="27"/>
      <c r="M52" s="131">
        <v>0</v>
      </c>
      <c r="N52" s="134">
        <f t="shared" si="1"/>
        <v>0</v>
      </c>
      <c r="O52" s="131">
        <v>0</v>
      </c>
      <c r="P52" s="132">
        <f t="shared" si="2"/>
        <v>0</v>
      </c>
      <c r="Q52" s="142">
        <v>0</v>
      </c>
      <c r="R52" s="514">
        <f t="shared" si="3"/>
        <v>0</v>
      </c>
      <c r="S52" s="556">
        <f t="shared" si="6"/>
        <v>0</v>
      </c>
      <c r="U52" s="114">
        <v>53204040200000</v>
      </c>
      <c r="V52" s="111" t="s">
        <v>48</v>
      </c>
      <c r="W52" s="117">
        <v>0</v>
      </c>
      <c r="AG52" s="26"/>
    </row>
    <row r="53" spans="1:33" s="29" customFormat="1" ht="12.75" customHeight="1" x14ac:dyDescent="0.2">
      <c r="A53" s="921"/>
      <c r="B53" s="930"/>
      <c r="C53" s="58"/>
      <c r="D53" s="60"/>
      <c r="E53" s="61"/>
      <c r="F53" s="69" t="s">
        <v>118</v>
      </c>
      <c r="G53" s="79">
        <v>0</v>
      </c>
      <c r="H53" s="79">
        <v>0</v>
      </c>
      <c r="I53" s="96">
        <v>0</v>
      </c>
      <c r="J53" s="102">
        <f t="shared" si="9"/>
        <v>0</v>
      </c>
      <c r="K53" s="104">
        <f t="shared" si="0"/>
        <v>0</v>
      </c>
      <c r="L53" s="27"/>
      <c r="M53" s="131">
        <v>0</v>
      </c>
      <c r="N53" s="134">
        <f t="shared" si="1"/>
        <v>0</v>
      </c>
      <c r="O53" s="131">
        <v>0</v>
      </c>
      <c r="P53" s="132">
        <f t="shared" si="2"/>
        <v>0</v>
      </c>
      <c r="Q53" s="142">
        <v>0</v>
      </c>
      <c r="R53" s="514">
        <f t="shared" si="3"/>
        <v>0</v>
      </c>
      <c r="S53" s="556">
        <f t="shared" si="6"/>
        <v>0</v>
      </c>
      <c r="U53" s="114">
        <v>53204060000000</v>
      </c>
      <c r="V53" s="111" t="s">
        <v>49</v>
      </c>
      <c r="W53" s="117">
        <v>0</v>
      </c>
      <c r="AG53" s="26"/>
    </row>
    <row r="54" spans="1:33" s="29" customFormat="1" ht="12.75" customHeight="1" x14ac:dyDescent="0.2">
      <c r="A54" s="921"/>
      <c r="B54" s="931"/>
      <c r="C54" s="58"/>
      <c r="D54" s="60"/>
      <c r="E54" s="61"/>
      <c r="F54" s="69" t="s">
        <v>118</v>
      </c>
      <c r="G54" s="79">
        <v>0</v>
      </c>
      <c r="H54" s="79">
        <v>0</v>
      </c>
      <c r="I54" s="96">
        <v>0</v>
      </c>
      <c r="J54" s="102">
        <f t="shared" si="7"/>
        <v>0</v>
      </c>
      <c r="K54" s="104">
        <f t="shared" si="0"/>
        <v>0</v>
      </c>
      <c r="L54" s="27"/>
      <c r="M54" s="131">
        <v>0</v>
      </c>
      <c r="N54" s="134">
        <f t="shared" si="1"/>
        <v>0</v>
      </c>
      <c r="O54" s="131">
        <v>0</v>
      </c>
      <c r="P54" s="132">
        <f t="shared" si="2"/>
        <v>0</v>
      </c>
      <c r="Q54" s="142">
        <v>0</v>
      </c>
      <c r="R54" s="514">
        <f t="shared" si="3"/>
        <v>0</v>
      </c>
      <c r="S54" s="556">
        <f t="shared" si="6"/>
        <v>0</v>
      </c>
      <c r="U54" s="114">
        <v>53204070000000</v>
      </c>
      <c r="V54" s="111" t="s">
        <v>50</v>
      </c>
      <c r="W54" s="117">
        <v>-1300000</v>
      </c>
      <c r="AG54" s="26"/>
    </row>
    <row r="55" spans="1:33" s="29" customFormat="1" ht="12.75" customHeight="1" x14ac:dyDescent="0.2">
      <c r="A55" s="921"/>
      <c r="B55" s="931"/>
      <c r="C55" s="58"/>
      <c r="D55" s="60"/>
      <c r="E55" s="61"/>
      <c r="F55" s="69" t="s">
        <v>118</v>
      </c>
      <c r="G55" s="79">
        <v>0</v>
      </c>
      <c r="H55" s="79">
        <v>0</v>
      </c>
      <c r="I55" s="96">
        <v>0</v>
      </c>
      <c r="J55" s="102">
        <f t="shared" si="7"/>
        <v>0</v>
      </c>
      <c r="K55" s="104">
        <f t="shared" si="0"/>
        <v>0</v>
      </c>
      <c r="L55" s="27"/>
      <c r="M55" s="131">
        <v>0</v>
      </c>
      <c r="N55" s="134">
        <f t="shared" si="1"/>
        <v>0</v>
      </c>
      <c r="O55" s="131">
        <v>0</v>
      </c>
      <c r="P55" s="132">
        <f t="shared" si="2"/>
        <v>0</v>
      </c>
      <c r="Q55" s="142">
        <v>0</v>
      </c>
      <c r="R55" s="514">
        <f t="shared" si="3"/>
        <v>0</v>
      </c>
      <c r="S55" s="556">
        <f t="shared" si="6"/>
        <v>0</v>
      </c>
      <c r="U55" s="114">
        <v>53204080000000</v>
      </c>
      <c r="V55" s="111" t="s">
        <v>51</v>
      </c>
      <c r="W55" s="117">
        <v>0</v>
      </c>
      <c r="AG55" s="26"/>
    </row>
    <row r="56" spans="1:33" s="29" customFormat="1" ht="12.75" customHeight="1" x14ac:dyDescent="0.2">
      <c r="A56" s="921"/>
      <c r="B56" s="931"/>
      <c r="C56" s="58"/>
      <c r="D56" s="60"/>
      <c r="E56" s="61"/>
      <c r="F56" s="69" t="s">
        <v>118</v>
      </c>
      <c r="G56" s="79">
        <v>0</v>
      </c>
      <c r="H56" s="79">
        <v>0</v>
      </c>
      <c r="I56" s="96">
        <v>0</v>
      </c>
      <c r="J56" s="102">
        <f t="shared" si="7"/>
        <v>0</v>
      </c>
      <c r="K56" s="104">
        <f t="shared" si="0"/>
        <v>0</v>
      </c>
      <c r="L56" s="27"/>
      <c r="M56" s="131">
        <v>0</v>
      </c>
      <c r="N56" s="134">
        <f t="shared" si="1"/>
        <v>0</v>
      </c>
      <c r="O56" s="131">
        <v>0</v>
      </c>
      <c r="P56" s="132">
        <f t="shared" si="2"/>
        <v>0</v>
      </c>
      <c r="Q56" s="142">
        <v>0</v>
      </c>
      <c r="R56" s="514">
        <f t="shared" si="3"/>
        <v>0</v>
      </c>
      <c r="S56" s="556">
        <f t="shared" si="6"/>
        <v>0</v>
      </c>
      <c r="U56" s="114">
        <v>53214010000000</v>
      </c>
      <c r="V56" s="111" t="s">
        <v>52</v>
      </c>
      <c r="W56" s="117">
        <v>-1100000</v>
      </c>
      <c r="AG56" s="26"/>
    </row>
    <row r="57" spans="1:33" s="29" customFormat="1" ht="12.75" customHeight="1" x14ac:dyDescent="0.2">
      <c r="A57" s="921"/>
      <c r="B57" s="931"/>
      <c r="C57" s="58"/>
      <c r="D57" s="60"/>
      <c r="E57" s="61"/>
      <c r="F57" s="69" t="s">
        <v>118</v>
      </c>
      <c r="G57" s="79">
        <v>0</v>
      </c>
      <c r="H57" s="79">
        <v>0</v>
      </c>
      <c r="I57" s="96">
        <v>0</v>
      </c>
      <c r="J57" s="102">
        <f t="shared" si="7"/>
        <v>0</v>
      </c>
      <c r="K57" s="104">
        <f t="shared" si="0"/>
        <v>0</v>
      </c>
      <c r="L57" s="27"/>
      <c r="M57" s="131">
        <v>0</v>
      </c>
      <c r="N57" s="134">
        <f t="shared" si="1"/>
        <v>0</v>
      </c>
      <c r="O57" s="131">
        <v>0</v>
      </c>
      <c r="P57" s="132">
        <f t="shared" si="2"/>
        <v>0</v>
      </c>
      <c r="Q57" s="142">
        <v>0</v>
      </c>
      <c r="R57" s="514">
        <f t="shared" si="3"/>
        <v>0</v>
      </c>
      <c r="S57" s="556">
        <f t="shared" si="6"/>
        <v>0</v>
      </c>
      <c r="U57" s="114">
        <v>53214040000000</v>
      </c>
      <c r="V57" s="111" t="s">
        <v>131</v>
      </c>
      <c r="W57" s="117">
        <v>0</v>
      </c>
      <c r="AG57" s="26"/>
    </row>
    <row r="58" spans="1:33" s="29" customFormat="1" ht="12.75" customHeight="1" x14ac:dyDescent="0.2">
      <c r="A58" s="921"/>
      <c r="B58" s="931"/>
      <c r="C58" s="58"/>
      <c r="D58" s="60"/>
      <c r="E58" s="61"/>
      <c r="F58" s="69" t="s">
        <v>118</v>
      </c>
      <c r="G58" s="79">
        <v>0</v>
      </c>
      <c r="H58" s="79">
        <v>0</v>
      </c>
      <c r="I58" s="96">
        <v>0</v>
      </c>
      <c r="J58" s="102">
        <f t="shared" si="7"/>
        <v>0</v>
      </c>
      <c r="K58" s="104">
        <f t="shared" si="0"/>
        <v>0</v>
      </c>
      <c r="L58" s="27"/>
      <c r="M58" s="131">
        <v>0</v>
      </c>
      <c r="N58" s="134">
        <f t="shared" si="1"/>
        <v>0</v>
      </c>
      <c r="O58" s="131">
        <v>0</v>
      </c>
      <c r="P58" s="132">
        <f t="shared" si="2"/>
        <v>0</v>
      </c>
      <c r="Q58" s="142">
        <v>0</v>
      </c>
      <c r="R58" s="514">
        <f t="shared" si="3"/>
        <v>0</v>
      </c>
      <c r="S58" s="556">
        <f t="shared" si="6"/>
        <v>0</v>
      </c>
      <c r="U58" s="114">
        <v>55201010100004</v>
      </c>
      <c r="V58" s="111" t="s">
        <v>53</v>
      </c>
      <c r="W58" s="117">
        <v>0</v>
      </c>
      <c r="AG58" s="26"/>
    </row>
    <row r="59" spans="1:33" s="29" customFormat="1" ht="12.75" customHeight="1" x14ac:dyDescent="0.2">
      <c r="A59" s="921"/>
      <c r="B59" s="931"/>
      <c r="C59" s="58"/>
      <c r="D59" s="60"/>
      <c r="E59" s="61"/>
      <c r="F59" s="69" t="s">
        <v>118</v>
      </c>
      <c r="G59" s="79">
        <v>0</v>
      </c>
      <c r="H59" s="79">
        <v>0</v>
      </c>
      <c r="I59" s="96">
        <v>0</v>
      </c>
      <c r="J59" s="102">
        <f t="shared" si="7"/>
        <v>0</v>
      </c>
      <c r="K59" s="104">
        <f t="shared" si="0"/>
        <v>0</v>
      </c>
      <c r="L59" s="27"/>
      <c r="M59" s="131">
        <v>0</v>
      </c>
      <c r="N59" s="134">
        <f t="shared" si="1"/>
        <v>0</v>
      </c>
      <c r="O59" s="131">
        <v>0</v>
      </c>
      <c r="P59" s="132">
        <f t="shared" si="2"/>
        <v>0</v>
      </c>
      <c r="Q59" s="142">
        <v>0</v>
      </c>
      <c r="R59" s="514">
        <f t="shared" si="3"/>
        <v>0</v>
      </c>
      <c r="S59" s="556">
        <f t="shared" si="6"/>
        <v>0</v>
      </c>
      <c r="U59" s="114">
        <v>55201010100005</v>
      </c>
      <c r="V59" s="111" t="s">
        <v>54</v>
      </c>
      <c r="W59" s="117">
        <v>0</v>
      </c>
      <c r="AG59" s="26"/>
    </row>
    <row r="60" spans="1:33" s="29" customFormat="1" ht="12.75" customHeight="1" x14ac:dyDescent="0.2">
      <c r="A60" s="921"/>
      <c r="B60" s="931"/>
      <c r="C60" s="58"/>
      <c r="D60" s="60"/>
      <c r="E60" s="61"/>
      <c r="F60" s="69" t="s">
        <v>118</v>
      </c>
      <c r="G60" s="79">
        <v>0</v>
      </c>
      <c r="H60" s="79">
        <v>0</v>
      </c>
      <c r="I60" s="96">
        <v>0</v>
      </c>
      <c r="J60" s="102">
        <f t="shared" si="7"/>
        <v>0</v>
      </c>
      <c r="K60" s="104">
        <f t="shared" si="0"/>
        <v>0</v>
      </c>
      <c r="L60" s="27"/>
      <c r="M60" s="131">
        <v>0</v>
      </c>
      <c r="N60" s="134">
        <f t="shared" si="1"/>
        <v>0</v>
      </c>
      <c r="O60" s="131">
        <v>0</v>
      </c>
      <c r="P60" s="132">
        <f t="shared" si="2"/>
        <v>0</v>
      </c>
      <c r="Q60" s="142">
        <v>0</v>
      </c>
      <c r="R60" s="514">
        <f t="shared" si="3"/>
        <v>0</v>
      </c>
      <c r="S60" s="556">
        <f t="shared" si="6"/>
        <v>0</v>
      </c>
      <c r="U60" s="113"/>
      <c r="V60" s="110" t="s">
        <v>55</v>
      </c>
      <c r="W60" s="116">
        <f>SUM(W61:W69)</f>
        <v>3750000</v>
      </c>
      <c r="AG60" s="26"/>
    </row>
    <row r="61" spans="1:33" s="29" customFormat="1" ht="12.75" customHeight="1" thickBot="1" x14ac:dyDescent="0.25">
      <c r="A61" s="922"/>
      <c r="B61" s="932"/>
      <c r="C61" s="106"/>
      <c r="D61" s="80"/>
      <c r="E61" s="81"/>
      <c r="F61" s="82" t="s">
        <v>118</v>
      </c>
      <c r="G61" s="83">
        <v>0</v>
      </c>
      <c r="H61" s="83">
        <v>0</v>
      </c>
      <c r="I61" s="97">
        <v>0</v>
      </c>
      <c r="J61" s="100">
        <f t="shared" si="7"/>
        <v>0</v>
      </c>
      <c r="K61" s="92">
        <f t="shared" si="0"/>
        <v>0</v>
      </c>
      <c r="L61" s="27"/>
      <c r="M61" s="299">
        <v>0</v>
      </c>
      <c r="N61" s="300">
        <f t="shared" si="1"/>
        <v>0</v>
      </c>
      <c r="O61" s="299">
        <v>0</v>
      </c>
      <c r="P61" s="301">
        <f t="shared" si="2"/>
        <v>0</v>
      </c>
      <c r="Q61" s="302">
        <v>0</v>
      </c>
      <c r="R61" s="515">
        <f t="shared" si="3"/>
        <v>0</v>
      </c>
      <c r="S61" s="557">
        <f t="shared" si="6"/>
        <v>0</v>
      </c>
      <c r="U61" s="114">
        <v>53207010000000</v>
      </c>
      <c r="V61" s="111" t="s">
        <v>56</v>
      </c>
      <c r="W61" s="117">
        <v>0</v>
      </c>
      <c r="AG61" s="26"/>
    </row>
    <row r="62" spans="1:33" s="29" customFormat="1" ht="12.75" customHeight="1" thickBo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98">
        <f>SUM(K15:K61)</f>
        <v>76906784.970276803</v>
      </c>
      <c r="L62" s="26"/>
      <c r="M62" s="303">
        <f>+N62/$K$62</f>
        <v>0.47651063006826694</v>
      </c>
      <c r="N62" s="304">
        <f>SUM(N15:N61)</f>
        <v>36646900.562711321</v>
      </c>
      <c r="O62" s="303">
        <f>+P62/$K$62</f>
        <v>0.3216605258685129</v>
      </c>
      <c r="P62" s="304">
        <f>SUM(P15:P61)</f>
        <v>24737876.896395881</v>
      </c>
      <c r="Q62" s="303">
        <f>+R62/$K$62</f>
        <v>1.9373085290569227E-2</v>
      </c>
      <c r="R62" s="304">
        <f>SUM(R15:R61)</f>
        <v>1489921.70465264</v>
      </c>
      <c r="S62" s="26"/>
      <c r="U62" s="114">
        <v>53207020000000</v>
      </c>
      <c r="V62" s="111" t="s">
        <v>57</v>
      </c>
      <c r="W62" s="117">
        <v>0</v>
      </c>
      <c r="AG62" s="26"/>
    </row>
    <row r="63" spans="1:33" s="29" customFormat="1" ht="12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52">
        <v>1</v>
      </c>
      <c r="L63" s="26"/>
      <c r="M63" s="26"/>
      <c r="O63" s="26"/>
      <c r="P63" s="26"/>
      <c r="Q63" s="26"/>
      <c r="R63" s="26"/>
      <c r="S63" s="26"/>
      <c r="U63" s="114">
        <v>53208020000000</v>
      </c>
      <c r="V63" s="111" t="s">
        <v>58</v>
      </c>
      <c r="W63" s="117">
        <v>0</v>
      </c>
      <c r="AG63" s="26"/>
    </row>
    <row r="64" spans="1:33" s="29" customFormat="1" ht="12.75" customHeight="1" thickBo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U64" s="114">
        <v>53208990000000</v>
      </c>
      <c r="V64" s="111" t="s">
        <v>59</v>
      </c>
      <c r="W64" s="117">
        <v>2500000</v>
      </c>
      <c r="AG64" s="26"/>
    </row>
    <row r="65" spans="1:33" s="29" customFormat="1" ht="12.75" customHeight="1" x14ac:dyDescent="0.2">
      <c r="A65" s="914" t="s">
        <v>136</v>
      </c>
      <c r="B65" s="917" t="s">
        <v>121</v>
      </c>
      <c r="C65" s="105"/>
      <c r="D65" s="84"/>
      <c r="E65" s="85"/>
      <c r="F65" s="86" t="s">
        <v>120</v>
      </c>
      <c r="G65" s="78">
        <v>0</v>
      </c>
      <c r="H65" s="78">
        <v>0</v>
      </c>
      <c r="I65" s="95">
        <v>0</v>
      </c>
      <c r="J65" s="98">
        <f t="shared" si="5"/>
        <v>0</v>
      </c>
      <c r="K65" s="93">
        <f t="shared" si="0"/>
        <v>0</v>
      </c>
      <c r="L65" s="27"/>
      <c r="M65" s="26"/>
      <c r="N65" s="679" t="s">
        <v>417</v>
      </c>
      <c r="O65" s="26"/>
      <c r="P65" s="26"/>
      <c r="Q65" s="26"/>
      <c r="R65" s="26"/>
      <c r="S65" s="26"/>
      <c r="U65" s="114">
        <v>53209010000000</v>
      </c>
      <c r="V65" s="111" t="s">
        <v>60</v>
      </c>
      <c r="W65" s="117">
        <v>0</v>
      </c>
      <c r="AG65" s="26"/>
    </row>
    <row r="66" spans="1:33" s="29" customFormat="1" ht="12.75" customHeight="1" x14ac:dyDescent="0.2">
      <c r="A66" s="915"/>
      <c r="B66" s="918"/>
      <c r="C66" s="59"/>
      <c r="D66" s="87"/>
      <c r="E66" s="88"/>
      <c r="F66" s="62" t="s">
        <v>120</v>
      </c>
      <c r="G66" s="79">
        <v>0</v>
      </c>
      <c r="H66" s="79">
        <v>0</v>
      </c>
      <c r="I66" s="96">
        <v>0</v>
      </c>
      <c r="J66" s="99">
        <f t="shared" si="5"/>
        <v>0</v>
      </c>
      <c r="K66" s="94">
        <f t="shared" si="0"/>
        <v>0</v>
      </c>
      <c r="L66" s="27"/>
      <c r="M66" s="26"/>
      <c r="N66" s="26"/>
      <c r="O66" s="26"/>
      <c r="P66" s="26"/>
      <c r="Q66" s="26"/>
      <c r="R66" s="26"/>
      <c r="S66" s="26"/>
      <c r="U66" s="114">
        <v>53209040000000</v>
      </c>
      <c r="V66" s="111" t="s">
        <v>61</v>
      </c>
      <c r="W66" s="117">
        <v>0</v>
      </c>
      <c r="AG66" s="26"/>
    </row>
    <row r="67" spans="1:33" s="29" customFormat="1" ht="12.75" customHeight="1" x14ac:dyDescent="0.2">
      <c r="A67" s="915"/>
      <c r="B67" s="918"/>
      <c r="C67" s="59"/>
      <c r="D67" s="87"/>
      <c r="E67" s="88"/>
      <c r="F67" s="62" t="s">
        <v>120</v>
      </c>
      <c r="G67" s="79">
        <v>0</v>
      </c>
      <c r="H67" s="79">
        <v>0</v>
      </c>
      <c r="I67" s="96">
        <v>0</v>
      </c>
      <c r="J67" s="99">
        <f t="shared" si="5"/>
        <v>0</v>
      </c>
      <c r="K67" s="94">
        <f t="shared" si="0"/>
        <v>0</v>
      </c>
      <c r="L67" s="27"/>
      <c r="M67" s="26"/>
      <c r="N67" s="26"/>
      <c r="O67" s="26"/>
      <c r="P67" s="26"/>
      <c r="Q67" s="26"/>
      <c r="R67" s="26"/>
      <c r="S67" s="26"/>
      <c r="U67" s="114">
        <v>53209050000000</v>
      </c>
      <c r="V67" s="111" t="s">
        <v>62</v>
      </c>
      <c r="W67" s="117">
        <v>1250000</v>
      </c>
      <c r="AG67" s="26"/>
    </row>
    <row r="68" spans="1:33" s="29" customFormat="1" ht="12.75" customHeight="1" x14ac:dyDescent="0.2">
      <c r="A68" s="915"/>
      <c r="B68" s="918"/>
      <c r="C68" s="57"/>
      <c r="D68" s="89"/>
      <c r="E68" s="90"/>
      <c r="F68" s="91" t="s">
        <v>120</v>
      </c>
      <c r="G68" s="79">
        <v>0</v>
      </c>
      <c r="H68" s="79">
        <v>0</v>
      </c>
      <c r="I68" s="96">
        <v>0</v>
      </c>
      <c r="J68" s="99">
        <f t="shared" si="5"/>
        <v>0</v>
      </c>
      <c r="K68" s="94">
        <f t="shared" si="0"/>
        <v>0</v>
      </c>
      <c r="L68" s="27"/>
      <c r="M68" s="26"/>
      <c r="N68" s="26"/>
      <c r="O68" s="26"/>
      <c r="P68" s="26"/>
      <c r="Q68" s="26"/>
      <c r="R68" s="26"/>
      <c r="S68" s="26"/>
      <c r="U68" s="114">
        <v>53209990000000</v>
      </c>
      <c r="V68" s="111" t="s">
        <v>63</v>
      </c>
      <c r="W68" s="117">
        <v>0</v>
      </c>
      <c r="AG68" s="26"/>
    </row>
    <row r="69" spans="1:33" s="29" customFormat="1" ht="12.75" customHeight="1" thickBot="1" x14ac:dyDescent="0.25">
      <c r="A69" s="916"/>
      <c r="B69" s="919"/>
      <c r="C69" s="106"/>
      <c r="D69" s="80"/>
      <c r="E69" s="81"/>
      <c r="F69" s="82" t="s">
        <v>120</v>
      </c>
      <c r="G69" s="83">
        <v>0</v>
      </c>
      <c r="H69" s="83">
        <v>0</v>
      </c>
      <c r="I69" s="97">
        <v>0</v>
      </c>
      <c r="J69" s="100">
        <f t="shared" si="5"/>
        <v>0</v>
      </c>
      <c r="K69" s="92">
        <f t="shared" si="0"/>
        <v>0</v>
      </c>
      <c r="L69" s="27"/>
      <c r="M69" s="26"/>
      <c r="N69" s="26"/>
      <c r="O69" s="26"/>
      <c r="P69" s="26"/>
      <c r="Q69" s="26"/>
      <c r="R69" s="26"/>
      <c r="S69" s="26"/>
      <c r="U69" s="114">
        <v>53210020100000</v>
      </c>
      <c r="V69" s="111" t="s">
        <v>64</v>
      </c>
      <c r="W69" s="117">
        <v>0</v>
      </c>
      <c r="AG69" s="26"/>
    </row>
    <row r="70" spans="1:33" ht="15.75" x14ac:dyDescent="0.2">
      <c r="C70" s="24"/>
      <c r="D70" s="24"/>
      <c r="E70" s="31"/>
      <c r="F70" s="31"/>
      <c r="G70" s="31"/>
      <c r="H70" s="31"/>
      <c r="I70" s="31"/>
      <c r="K70" s="51">
        <f>SUM(K65:K69)</f>
        <v>0</v>
      </c>
      <c r="L70" s="27"/>
      <c r="U70" s="113"/>
      <c r="V70" s="110" t="s">
        <v>65</v>
      </c>
      <c r="W70" s="116">
        <f>SUM(W71:W77)</f>
        <v>0</v>
      </c>
    </row>
    <row r="71" spans="1:33" x14ac:dyDescent="0.2">
      <c r="K71" s="52">
        <v>1</v>
      </c>
      <c r="L71" s="27"/>
      <c r="M71" s="32"/>
      <c r="O71" s="32"/>
      <c r="Q71" s="32"/>
      <c r="U71" s="114">
        <v>53206030000000</v>
      </c>
      <c r="V71" s="111" t="s">
        <v>99</v>
      </c>
      <c r="W71" s="117">
        <v>0</v>
      </c>
    </row>
    <row r="72" spans="1:33" x14ac:dyDescent="0.2">
      <c r="L72" s="27"/>
      <c r="U72" s="114">
        <v>53206040000000</v>
      </c>
      <c r="V72" s="111" t="s">
        <v>100</v>
      </c>
      <c r="W72" s="117">
        <v>0</v>
      </c>
    </row>
    <row r="73" spans="1:33" x14ac:dyDescent="0.2">
      <c r="U73" s="114">
        <v>53206060000000</v>
      </c>
      <c r="V73" s="111" t="s">
        <v>101</v>
      </c>
      <c r="W73" s="117">
        <v>0</v>
      </c>
    </row>
    <row r="74" spans="1:33" x14ac:dyDescent="0.2">
      <c r="U74" s="114">
        <v>53206070000000</v>
      </c>
      <c r="V74" s="111" t="s">
        <v>102</v>
      </c>
      <c r="W74" s="117">
        <v>0</v>
      </c>
    </row>
    <row r="75" spans="1:33" ht="15.75" customHeight="1" x14ac:dyDescent="0.2">
      <c r="H75" s="108"/>
      <c r="U75" s="114">
        <v>53206990000000</v>
      </c>
      <c r="V75" s="111" t="s">
        <v>103</v>
      </c>
      <c r="W75" s="117">
        <v>0</v>
      </c>
    </row>
    <row r="76" spans="1:33" x14ac:dyDescent="0.2">
      <c r="U76" s="114">
        <v>53208030000000</v>
      </c>
      <c r="V76" s="111" t="s">
        <v>104</v>
      </c>
      <c r="W76" s="117">
        <v>0</v>
      </c>
    </row>
    <row r="77" spans="1:33" x14ac:dyDescent="0.2">
      <c r="U77" s="114">
        <v>53212060000000</v>
      </c>
      <c r="V77" s="111" t="s">
        <v>97</v>
      </c>
      <c r="W77" s="117">
        <v>0</v>
      </c>
    </row>
    <row r="78" spans="1:33" x14ac:dyDescent="0.2">
      <c r="U78" s="113"/>
      <c r="V78" s="110" t="s">
        <v>66</v>
      </c>
      <c r="W78" s="116">
        <f>SUM(W79:W79)</f>
        <v>0</v>
      </c>
    </row>
    <row r="79" spans="1:33" x14ac:dyDescent="0.2">
      <c r="U79" s="114">
        <v>53204999000000</v>
      </c>
      <c r="V79" s="111" t="s">
        <v>96</v>
      </c>
      <c r="W79" s="117">
        <v>0</v>
      </c>
    </row>
    <row r="80" spans="1:33" x14ac:dyDescent="0.2">
      <c r="U80" s="118"/>
      <c r="V80" s="119" t="s">
        <v>138</v>
      </c>
      <c r="W80" s="120">
        <f>+W40+W15</f>
        <v>-6590000</v>
      </c>
      <c r="Y80" s="679" t="s">
        <v>420</v>
      </c>
    </row>
    <row r="83" s="26" customFormat="1" ht="15.75" customHeight="1" x14ac:dyDescent="0.2"/>
    <row r="97" spans="11:12" x14ac:dyDescent="0.2">
      <c r="L97" s="122"/>
    </row>
    <row r="99" spans="11:12" x14ac:dyDescent="0.2">
      <c r="K99" s="130"/>
    </row>
    <row r="101" spans="11:12" x14ac:dyDescent="0.2">
      <c r="K101" s="123"/>
    </row>
  </sheetData>
  <sheetProtection algorithmName="SHA-512" hashValue="DmJpyGTVFNqWpXxRUF9+W5gzLbI+TpiwFo+gIz6V4gohlBrFBlkFfJkd3Hu94VF7dfsxb+YiOtTplTUczEXUJw==" saltValue="IHInx2kqp2dceAdQiS05oA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3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80" zoomScaleNormal="80" workbookViewId="0">
      <selection activeCell="C10" sqref="C10"/>
    </sheetView>
  </sheetViews>
  <sheetFormatPr baseColWidth="10" defaultColWidth="11.42578125" defaultRowHeight="12.75" x14ac:dyDescent="0.2"/>
  <cols>
    <col min="1" max="1" width="42.140625" style="3" bestFit="1" customWidth="1"/>
    <col min="2" max="2" width="33" style="3" bestFit="1" customWidth="1"/>
    <col min="3" max="3" width="14.140625" style="20" customWidth="1"/>
    <col min="4" max="4" width="14.140625" style="20" bestFit="1" customWidth="1"/>
    <col min="5" max="17" width="14.140625" style="20" customWidth="1"/>
    <col min="18" max="18" width="13.28515625" style="3" customWidth="1"/>
    <col min="19" max="19" width="14.140625" style="3" bestFit="1" customWidth="1"/>
    <col min="20" max="20" width="14.140625" style="3" customWidth="1"/>
    <col min="21" max="21" width="12.28515625" style="3" customWidth="1"/>
    <col min="22" max="16384" width="11.42578125" style="3"/>
  </cols>
  <sheetData>
    <row r="1" spans="1:245" s="5" customFormat="1" x14ac:dyDescent="0.2">
      <c r="B1" s="4"/>
      <c r="C1" s="6"/>
      <c r="D1" s="6"/>
      <c r="E1" s="6"/>
      <c r="F1" s="6"/>
      <c r="G1" s="34" t="s">
        <v>202</v>
      </c>
      <c r="H1" s="6"/>
      <c r="I1" s="6"/>
      <c r="J1" s="6"/>
      <c r="K1" s="6"/>
      <c r="L1" s="6"/>
      <c r="M1" s="6"/>
      <c r="N1" s="6"/>
      <c r="O1" s="6"/>
      <c r="P1" s="6"/>
      <c r="Q1" s="6"/>
      <c r="IJ1" s="3"/>
      <c r="IK1" s="3"/>
    </row>
    <row r="2" spans="1:245" s="5" customFormat="1" x14ac:dyDescent="0.2">
      <c r="B2" s="7"/>
      <c r="C2" s="6"/>
      <c r="D2" s="6"/>
      <c r="E2" s="6"/>
      <c r="F2" s="6"/>
      <c r="G2" s="34" t="s">
        <v>194</v>
      </c>
      <c r="H2" s="6"/>
      <c r="I2" s="6"/>
      <c r="J2" s="6"/>
      <c r="K2" s="6"/>
      <c r="L2" s="6"/>
      <c r="M2" s="6"/>
      <c r="N2" s="6"/>
      <c r="O2" s="6"/>
      <c r="P2" s="6"/>
      <c r="Q2" s="6"/>
      <c r="IJ2" s="3"/>
      <c r="IK2" s="3"/>
    </row>
    <row r="3" spans="1:245" s="5" customFormat="1" x14ac:dyDescent="0.2">
      <c r="B3" s="3"/>
      <c r="IJ3" s="3"/>
      <c r="IK3" s="3"/>
    </row>
    <row r="4" spans="1:245" s="5" customFormat="1" ht="17.25" customHeight="1" x14ac:dyDescent="0.2">
      <c r="B4" s="20"/>
      <c r="C4" s="72"/>
      <c r="F4" s="72" t="s">
        <v>0</v>
      </c>
      <c r="G4" s="962" t="str">
        <f>+'B) Reajuste Tarifas y Ocupación'!F5</f>
        <v>(DEPTO./DELEG.)</v>
      </c>
      <c r="H4" s="963"/>
      <c r="I4" s="72"/>
      <c r="J4" s="72"/>
      <c r="K4" s="72"/>
      <c r="L4" s="72"/>
      <c r="M4" s="72"/>
      <c r="N4" s="72"/>
      <c r="O4" s="72"/>
      <c r="P4" s="72"/>
      <c r="Q4" s="72"/>
      <c r="IA4" s="3"/>
      <c r="IB4" s="3"/>
      <c r="IC4" s="3"/>
      <c r="ID4" s="3"/>
      <c r="IE4" s="3"/>
      <c r="IF4" s="3"/>
    </row>
    <row r="5" spans="1:245" s="5" customFormat="1" x14ac:dyDescent="0.2">
      <c r="B5" s="20"/>
      <c r="C5" s="72"/>
      <c r="F5" s="72"/>
      <c r="G5" s="74"/>
      <c r="H5" s="74"/>
      <c r="I5" s="72"/>
      <c r="J5" s="72"/>
      <c r="K5" s="72"/>
      <c r="L5" s="72"/>
      <c r="M5" s="72"/>
      <c r="N5" s="72"/>
      <c r="O5" s="72"/>
      <c r="P5" s="72"/>
      <c r="Q5" s="72"/>
      <c r="IA5" s="3"/>
      <c r="IB5" s="3"/>
      <c r="IC5" s="3"/>
      <c r="ID5" s="3"/>
      <c r="IE5" s="3"/>
      <c r="IF5" s="3"/>
    </row>
    <row r="6" spans="1:245" s="5" customFormat="1" ht="15.75" x14ac:dyDescent="0.2">
      <c r="A6" s="971" t="s">
        <v>156</v>
      </c>
      <c r="B6" s="971"/>
      <c r="C6" s="971"/>
      <c r="D6" s="971"/>
      <c r="E6" s="73"/>
      <c r="F6" s="72"/>
      <c r="G6" s="74"/>
      <c r="H6" s="74"/>
      <c r="I6" s="72"/>
      <c r="J6" s="72"/>
      <c r="K6" s="72"/>
      <c r="L6" s="72"/>
      <c r="M6" s="72"/>
      <c r="N6" s="72"/>
      <c r="O6" s="72"/>
      <c r="P6" s="72"/>
      <c r="Q6" s="72"/>
      <c r="IA6" s="3"/>
      <c r="IB6" s="3"/>
      <c r="IC6" s="3"/>
      <c r="ID6" s="3"/>
      <c r="IE6" s="3"/>
      <c r="IF6" s="3"/>
    </row>
    <row r="7" spans="1:245" s="5" customFormat="1" ht="13.5" thickBo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HX7" s="3"/>
      <c r="HY7" s="3"/>
      <c r="HZ7" s="3"/>
      <c r="IA7" s="3"/>
      <c r="IB7" s="3"/>
      <c r="IC7" s="3"/>
      <c r="ID7" s="3"/>
      <c r="IE7" s="3"/>
      <c r="IF7" s="3"/>
    </row>
    <row r="8" spans="1:245" ht="16.5" customHeight="1" thickBot="1" x14ac:dyDescent="0.25">
      <c r="A8" s="972" t="s">
        <v>113</v>
      </c>
      <c r="B8" s="974" t="s">
        <v>5</v>
      </c>
      <c r="C8" s="968" t="s">
        <v>234</v>
      </c>
      <c r="D8" s="969"/>
      <c r="E8" s="969"/>
      <c r="F8" s="969"/>
      <c r="G8" s="970"/>
      <c r="H8" s="964" t="s">
        <v>224</v>
      </c>
      <c r="I8" s="965"/>
      <c r="J8" s="965"/>
      <c r="K8" s="965"/>
      <c r="L8" s="966"/>
      <c r="M8" s="967" t="s">
        <v>124</v>
      </c>
      <c r="N8" s="960"/>
      <c r="O8" s="960"/>
      <c r="P8" s="960"/>
      <c r="Q8" s="961"/>
      <c r="R8" s="960" t="s">
        <v>125</v>
      </c>
      <c r="S8" s="960"/>
      <c r="T8" s="960"/>
      <c r="U8" s="960"/>
      <c r="V8" s="961"/>
    </row>
    <row r="9" spans="1:245" ht="64.5" thickBot="1" x14ac:dyDescent="0.25">
      <c r="A9" s="973" t="e">
        <f>NA()</f>
        <v>#N/A</v>
      </c>
      <c r="B9" s="975" t="e">
        <f>NA()</f>
        <v>#N/A</v>
      </c>
      <c r="C9" s="68" t="s">
        <v>86</v>
      </c>
      <c r="D9" s="67" t="s">
        <v>134</v>
      </c>
      <c r="E9" s="67" t="s">
        <v>135</v>
      </c>
      <c r="F9" s="67" t="s">
        <v>87</v>
      </c>
      <c r="G9" s="517" t="s">
        <v>88</v>
      </c>
      <c r="H9" s="521" t="s">
        <v>86</v>
      </c>
      <c r="I9" s="522" t="s">
        <v>134</v>
      </c>
      <c r="J9" s="522" t="s">
        <v>135</v>
      </c>
      <c r="K9" s="522" t="s">
        <v>87</v>
      </c>
      <c r="L9" s="531" t="s">
        <v>88</v>
      </c>
      <c r="M9" s="523" t="s">
        <v>86</v>
      </c>
      <c r="N9" s="524" t="s">
        <v>134</v>
      </c>
      <c r="O9" s="524" t="s">
        <v>135</v>
      </c>
      <c r="P9" s="524" t="s">
        <v>87</v>
      </c>
      <c r="Q9" s="525" t="s">
        <v>88</v>
      </c>
      <c r="R9" s="532" t="s">
        <v>86</v>
      </c>
      <c r="S9" s="524" t="s">
        <v>134</v>
      </c>
      <c r="T9" s="524" t="s">
        <v>135</v>
      </c>
      <c r="U9" s="524" t="s">
        <v>87</v>
      </c>
      <c r="V9" s="525" t="s">
        <v>88</v>
      </c>
    </row>
    <row r="10" spans="1:245" s="9" customFormat="1" x14ac:dyDescent="0.2">
      <c r="A10" s="957" t="str">
        <f>+'B) Reajuste Tarifas y Ocupación'!A12</f>
        <v>Jardín Infantil Olitas de Mar</v>
      </c>
      <c r="B10" s="253" t="str">
        <f>+'B) Reajuste Tarifas y Ocupación'!B12</f>
        <v>Media jornada</v>
      </c>
      <c r="C10" s="551">
        <f>+'B) Reajuste Tarifas y Ocupación'!M12</f>
        <v>52300</v>
      </c>
      <c r="D10" s="552">
        <f>+'B) Reajuste Tarifas y Ocupación'!N12</f>
        <v>62700</v>
      </c>
      <c r="E10" s="552">
        <f>+'B) Reajuste Tarifas y Ocupación'!O12</f>
        <v>62700</v>
      </c>
      <c r="F10" s="552">
        <f>+'B) Reajuste Tarifas y Ocupación'!P12</f>
        <v>79100</v>
      </c>
      <c r="G10" s="518">
        <f>+'B) Reajuste Tarifas y Ocupación'!Q12</f>
        <v>127000</v>
      </c>
      <c r="H10" s="526">
        <f>+'B) Reajuste Tarifas y Ocupación'!C12</f>
        <v>49400</v>
      </c>
      <c r="I10" s="527">
        <f>+'B) Reajuste Tarifas y Ocupación'!D12</f>
        <v>59300</v>
      </c>
      <c r="J10" s="527">
        <f>+'B) Reajuste Tarifas y Ocupación'!E12</f>
        <v>59300</v>
      </c>
      <c r="K10" s="527">
        <f>+'B) Reajuste Tarifas y Ocupación'!F12</f>
        <v>74800</v>
      </c>
      <c r="L10" s="528">
        <f>+'B) Reajuste Tarifas y Ocupación'!G12</f>
        <v>120100</v>
      </c>
      <c r="M10" s="423">
        <f t="shared" ref="M10:Q11" si="0">C10-H10</f>
        <v>2900</v>
      </c>
      <c r="N10" s="424">
        <f t="shared" si="0"/>
        <v>3400</v>
      </c>
      <c r="O10" s="424">
        <f t="shared" si="0"/>
        <v>3400</v>
      </c>
      <c r="P10" s="424">
        <f t="shared" si="0"/>
        <v>4300</v>
      </c>
      <c r="Q10" s="537">
        <f t="shared" si="0"/>
        <v>6900</v>
      </c>
      <c r="R10" s="533">
        <f>+'B) Reajuste Tarifas y Ocupación'!H12</f>
        <v>5.7000000000000002E-2</v>
      </c>
      <c r="S10" s="425">
        <f>+'B) Reajuste Tarifas y Ocupación'!I12</f>
        <v>5.7000000000000002E-2</v>
      </c>
      <c r="T10" s="425">
        <f>+'B) Reajuste Tarifas y Ocupación'!J12</f>
        <v>5.7000000000000002E-2</v>
      </c>
      <c r="U10" s="425">
        <f>+'B) Reajuste Tarifas y Ocupación'!K12</f>
        <v>5.7000000000000002E-2</v>
      </c>
      <c r="V10" s="426">
        <f>+'B) Reajuste Tarifas y Ocupación'!L12</f>
        <v>5.7000000000000002E-2</v>
      </c>
    </row>
    <row r="11" spans="1:245" s="9" customFormat="1" x14ac:dyDescent="0.2">
      <c r="A11" s="958"/>
      <c r="B11" s="254" t="str">
        <f>+'B) Reajuste Tarifas y Ocupación'!B13</f>
        <v>Media jornada Extendida</v>
      </c>
      <c r="C11" s="553">
        <f>+'B) Reajuste Tarifas y Ocupación'!M13</f>
        <v>59700</v>
      </c>
      <c r="D11" s="554">
        <f>+'B) Reajuste Tarifas y Ocupación'!N13</f>
        <v>71600</v>
      </c>
      <c r="E11" s="554">
        <f>+'B) Reajuste Tarifas y Ocupación'!O13</f>
        <v>71600</v>
      </c>
      <c r="F11" s="554">
        <f>+'B) Reajuste Tarifas y Ocupación'!P13</f>
        <v>113100</v>
      </c>
      <c r="G11" s="519">
        <f>+'B) Reajuste Tarifas y Ocupación'!Q13</f>
        <v>168500</v>
      </c>
      <c r="H11" s="529">
        <f>+'B) Reajuste Tarifas y Ocupación'!C13</f>
        <v>56400</v>
      </c>
      <c r="I11" s="516">
        <f>+'B) Reajuste Tarifas y Ocupación'!D13</f>
        <v>67700</v>
      </c>
      <c r="J11" s="516">
        <f>+'B) Reajuste Tarifas y Ocupación'!E13</f>
        <v>67700</v>
      </c>
      <c r="K11" s="516">
        <f>+'B) Reajuste Tarifas y Ocupación'!F13</f>
        <v>107000</v>
      </c>
      <c r="L11" s="530">
        <f>+'B) Reajuste Tarifas y Ocupación'!G13</f>
        <v>159400</v>
      </c>
      <c r="M11" s="427">
        <f t="shared" si="0"/>
        <v>3300</v>
      </c>
      <c r="N11" s="428">
        <f t="shared" si="0"/>
        <v>3900</v>
      </c>
      <c r="O11" s="428">
        <f t="shared" si="0"/>
        <v>3900</v>
      </c>
      <c r="P11" s="428">
        <f t="shared" si="0"/>
        <v>6100</v>
      </c>
      <c r="Q11" s="538">
        <f t="shared" si="0"/>
        <v>9100</v>
      </c>
      <c r="R11" s="534">
        <f>+'B) Reajuste Tarifas y Ocupación'!H13</f>
        <v>5.7000000000000002E-2</v>
      </c>
      <c r="S11" s="429">
        <f>+'B) Reajuste Tarifas y Ocupación'!I13</f>
        <v>5.7000000000000002E-2</v>
      </c>
      <c r="T11" s="429">
        <f>+'B) Reajuste Tarifas y Ocupación'!J13</f>
        <v>5.7000000000000002E-2</v>
      </c>
      <c r="U11" s="429">
        <f>+'B) Reajuste Tarifas y Ocupación'!K13</f>
        <v>5.7000000000000002E-2</v>
      </c>
      <c r="V11" s="430">
        <f>+'B) Reajuste Tarifas y Ocupación'!L13</f>
        <v>5.7000000000000002E-2</v>
      </c>
    </row>
    <row r="12" spans="1:245" s="9" customFormat="1" ht="13.5" thickBot="1" x14ac:dyDescent="0.25">
      <c r="A12" s="959"/>
      <c r="B12" s="255" t="str">
        <f>+'B) Reajuste Tarifas y Ocupación'!B14</f>
        <v>Jornada Completa</v>
      </c>
      <c r="C12" s="331">
        <f>+'B) Reajuste Tarifas y Ocupación'!M14</f>
        <v>93600</v>
      </c>
      <c r="D12" s="332">
        <f>+'B) Reajuste Tarifas y Ocupación'!N14</f>
        <v>112300</v>
      </c>
      <c r="E12" s="332">
        <f>+'B) Reajuste Tarifas y Ocupación'!O14</f>
        <v>112300</v>
      </c>
      <c r="F12" s="332">
        <f>+'B) Reajuste Tarifas y Ocupación'!P14</f>
        <v>144900</v>
      </c>
      <c r="G12" s="334">
        <f>+'B) Reajuste Tarifas y Ocupación'!Q14</f>
        <v>232900</v>
      </c>
      <c r="H12" s="265">
        <f>+'B) Reajuste Tarifas y Ocupación'!C14</f>
        <v>88500</v>
      </c>
      <c r="I12" s="266">
        <f>+'B) Reajuste Tarifas y Ocupación'!D14</f>
        <v>106200</v>
      </c>
      <c r="J12" s="266">
        <f>+'B) Reajuste Tarifas y Ocupación'!E14</f>
        <v>106200</v>
      </c>
      <c r="K12" s="266">
        <f>+'B) Reajuste Tarifas y Ocupación'!F14</f>
        <v>137000</v>
      </c>
      <c r="L12" s="267">
        <f>+'B) Reajuste Tarifas y Ocupación'!G14</f>
        <v>220300</v>
      </c>
      <c r="M12" s="268">
        <f t="shared" ref="M12" si="1">C12-H12</f>
        <v>5100</v>
      </c>
      <c r="N12" s="269">
        <f t="shared" ref="N12" si="2">D12-I12</f>
        <v>6100</v>
      </c>
      <c r="O12" s="269">
        <f t="shared" ref="O12" si="3">E12-J12</f>
        <v>6100</v>
      </c>
      <c r="P12" s="269">
        <f t="shared" ref="P12" si="4">F12-K12</f>
        <v>7900</v>
      </c>
      <c r="Q12" s="539">
        <f t="shared" ref="Q12" si="5">G12-L12</f>
        <v>12600</v>
      </c>
      <c r="R12" s="536">
        <f>+'B) Reajuste Tarifas y Ocupación'!H14</f>
        <v>5.7000000000000002E-2</v>
      </c>
      <c r="S12" s="270">
        <f>+'B) Reajuste Tarifas y Ocupación'!I14</f>
        <v>5.7000000000000002E-2</v>
      </c>
      <c r="T12" s="270">
        <f>+'B) Reajuste Tarifas y Ocupación'!J14</f>
        <v>5.7000000000000002E-2</v>
      </c>
      <c r="U12" s="270">
        <f>+'B) Reajuste Tarifas y Ocupación'!K14</f>
        <v>5.7000000000000002E-2</v>
      </c>
      <c r="V12" s="271">
        <f>+'B) Reajuste Tarifas y Ocupación'!L14</f>
        <v>5.7000000000000002E-2</v>
      </c>
    </row>
    <row r="13" spans="1:245" x14ac:dyDescent="0.2">
      <c r="A13" s="955" t="str">
        <f>+'B) Reajuste Tarifas y Ocupación'!A15</f>
        <v>Sala Cuna Olitas de Mar</v>
      </c>
      <c r="B13" s="540" t="str">
        <f>+'B) Reajuste Tarifas y Ocupación'!B15</f>
        <v>Diurna</v>
      </c>
      <c r="C13" s="541">
        <f>+'B) Reajuste Tarifas y Ocupación'!M15</f>
        <v>327700</v>
      </c>
      <c r="D13" s="542">
        <f>+'B) Reajuste Tarifas y Ocupación'!N15</f>
        <v>393300</v>
      </c>
      <c r="E13" s="542">
        <f>+'B) Reajuste Tarifas y Ocupación'!O15</f>
        <v>393300</v>
      </c>
      <c r="F13" s="542">
        <f>+'B) Reajuste Tarifas y Ocupación'!P15</f>
        <v>409600</v>
      </c>
      <c r="G13" s="543">
        <f>+'B) Reajuste Tarifas y Ocupación'!Q15</f>
        <v>491600</v>
      </c>
      <c r="H13" s="544">
        <f>+'B) Reajuste Tarifas y Ocupación'!C15</f>
        <v>310000</v>
      </c>
      <c r="I13" s="545">
        <f>+'B) Reajuste Tarifas y Ocupación'!D15</f>
        <v>372000</v>
      </c>
      <c r="J13" s="545">
        <f>+'B) Reajuste Tarifas y Ocupación'!E15</f>
        <v>372000</v>
      </c>
      <c r="K13" s="545">
        <f>+'B) Reajuste Tarifas y Ocupación'!F15</f>
        <v>387500</v>
      </c>
      <c r="L13" s="546">
        <f>+'B) Reajuste Tarifas y Ocupación'!G15</f>
        <v>465000</v>
      </c>
      <c r="M13" s="293">
        <f t="shared" ref="M13" si="6">C13-H13</f>
        <v>17700</v>
      </c>
      <c r="N13" s="547">
        <f t="shared" ref="N13" si="7">D13-I13</f>
        <v>21300</v>
      </c>
      <c r="O13" s="547">
        <f t="shared" ref="O13" si="8">E13-J13</f>
        <v>21300</v>
      </c>
      <c r="P13" s="547">
        <f t="shared" ref="P13" si="9">F13-K13</f>
        <v>22100</v>
      </c>
      <c r="Q13" s="295">
        <f t="shared" ref="Q13" si="10">G13-L13</f>
        <v>26600</v>
      </c>
      <c r="R13" s="548">
        <f>+'B) Reajuste Tarifas y Ocupación'!H15</f>
        <v>5.7000000000000002E-2</v>
      </c>
      <c r="S13" s="549">
        <f>+'B) Reajuste Tarifas y Ocupación'!I15</f>
        <v>5.7000000000000002E-2</v>
      </c>
      <c r="T13" s="549">
        <f>+'B) Reajuste Tarifas y Ocupación'!J15</f>
        <v>5.7000000000000002E-2</v>
      </c>
      <c r="U13" s="549">
        <f>+'B) Reajuste Tarifas y Ocupación'!K15</f>
        <v>5.7000000000000002E-2</v>
      </c>
      <c r="V13" s="550">
        <f>+'B) Reajuste Tarifas y Ocupación'!L15</f>
        <v>5.7000000000000002E-2</v>
      </c>
    </row>
    <row r="14" spans="1:245" x14ac:dyDescent="0.2">
      <c r="A14" s="955"/>
      <c r="B14" s="254" t="str">
        <f>+'B) Reajuste Tarifas y Ocupación'!B16</f>
        <v>Nocturna</v>
      </c>
      <c r="C14" s="410"/>
      <c r="D14" s="411"/>
      <c r="E14" s="411"/>
      <c r="F14" s="411"/>
      <c r="G14" s="520"/>
      <c r="H14" s="431"/>
      <c r="I14" s="432"/>
      <c r="J14" s="432"/>
      <c r="K14" s="432"/>
      <c r="L14" s="433"/>
      <c r="M14" s="431"/>
      <c r="N14" s="432"/>
      <c r="O14" s="432"/>
      <c r="P14" s="432"/>
      <c r="Q14" s="434"/>
      <c r="R14" s="535"/>
      <c r="S14" s="432"/>
      <c r="T14" s="432"/>
      <c r="U14" s="432"/>
      <c r="V14" s="434"/>
    </row>
    <row r="15" spans="1:245" ht="13.5" thickBot="1" x14ac:dyDescent="0.25">
      <c r="A15" s="956"/>
      <c r="B15" s="255" t="str">
        <f>+'B) Reajuste Tarifas y Ocupación'!B17</f>
        <v>Media Jornada</v>
      </c>
      <c r="C15" s="331">
        <f>+'B) Reajuste Tarifas y Ocupación'!M17</f>
        <v>196700</v>
      </c>
      <c r="D15" s="332">
        <f>+'B) Reajuste Tarifas y Ocupación'!N17</f>
        <v>283200</v>
      </c>
      <c r="E15" s="332">
        <f>+'B) Reajuste Tarifas y Ocupación'!O17</f>
        <v>283200</v>
      </c>
      <c r="F15" s="332">
        <f>+'B) Reajuste Tarifas y Ocupación'!P17</f>
        <v>295000</v>
      </c>
      <c r="G15" s="334">
        <f>+'B) Reajuste Tarifas y Ocupación'!Q17</f>
        <v>393300</v>
      </c>
      <c r="H15" s="265">
        <f>+'B) Reajuste Tarifas y Ocupación'!C17</f>
        <v>186000</v>
      </c>
      <c r="I15" s="266">
        <f>+'B) Reajuste Tarifas y Ocupación'!D17</f>
        <v>223200</v>
      </c>
      <c r="J15" s="266">
        <f>+'B) Reajuste Tarifas y Ocupación'!E17</f>
        <v>223200</v>
      </c>
      <c r="K15" s="266">
        <f>+'B) Reajuste Tarifas y Ocupación'!F17</f>
        <v>279000</v>
      </c>
      <c r="L15" s="267">
        <f>+'B) Reajuste Tarifas y Ocupación'!G17</f>
        <v>372000</v>
      </c>
      <c r="M15" s="268">
        <f t="shared" ref="M15" si="11">C15-H15</f>
        <v>10700</v>
      </c>
      <c r="N15" s="269">
        <f t="shared" ref="N15" si="12">D15-I15</f>
        <v>60000</v>
      </c>
      <c r="O15" s="269">
        <f t="shared" ref="O15" si="13">E15-J15</f>
        <v>60000</v>
      </c>
      <c r="P15" s="269">
        <f t="shared" ref="P15" si="14">F15-K15</f>
        <v>16000</v>
      </c>
      <c r="Q15" s="539">
        <f t="shared" ref="Q15" si="15">G15-L15</f>
        <v>21300</v>
      </c>
      <c r="R15" s="536">
        <f>+'B) Reajuste Tarifas y Ocupación'!H17</f>
        <v>5.7000000000000002E-2</v>
      </c>
      <c r="S15" s="270">
        <f>+'B) Reajuste Tarifas y Ocupación'!I17</f>
        <v>5.7000000000000002E-2</v>
      </c>
      <c r="T15" s="270">
        <f>+'B) Reajuste Tarifas y Ocupación'!J17</f>
        <v>5.7000000000000002E-2</v>
      </c>
      <c r="U15" s="270">
        <f>+'B) Reajuste Tarifas y Ocupación'!K17</f>
        <v>5.7000000000000002E-2</v>
      </c>
      <c r="V15" s="271">
        <f>+'B) Reajuste Tarifas y Ocupación'!L17</f>
        <v>5.7000000000000002E-2</v>
      </c>
    </row>
  </sheetData>
  <sheetProtection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2" priority="3" operator="lessThan">
      <formula>0</formula>
    </cfRule>
  </conditionalFormatting>
  <conditionalFormatting sqref="H14:L14">
    <cfRule type="cellIs" dxfId="1" priority="2" operator="lessThan">
      <formula>0</formula>
    </cfRule>
  </conditionalFormatting>
  <conditionalFormatting sqref="M14:V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3"/>
  <sheetViews>
    <sheetView showGridLines="0" topLeftCell="B1" zoomScale="80" zoomScaleNormal="80" workbookViewId="0">
      <selection activeCell="K48" sqref="K48"/>
    </sheetView>
  </sheetViews>
  <sheetFormatPr baseColWidth="10" defaultColWidth="11.42578125" defaultRowHeight="12.75" x14ac:dyDescent="0.2"/>
  <cols>
    <col min="1" max="1" width="7.140625" style="26" customWidth="1"/>
    <col min="2" max="2" width="37.28515625" style="26" customWidth="1"/>
    <col min="3" max="3" width="28" style="26" customWidth="1"/>
    <col min="4" max="4" width="24.140625" style="26" customWidth="1"/>
    <col min="5" max="5" width="25.140625" style="26" customWidth="1"/>
    <col min="6" max="6" width="24.5703125" style="26" bestFit="1" customWidth="1"/>
    <col min="7" max="8" width="14.85546875" style="26" customWidth="1"/>
    <col min="9" max="9" width="15" style="26" customWidth="1"/>
    <col min="10" max="10" width="15.140625" style="26" customWidth="1"/>
    <col min="11" max="11" width="17.42578125" style="26" customWidth="1"/>
    <col min="12" max="12" width="25" style="26" customWidth="1"/>
    <col min="13" max="13" width="24.140625" style="26" customWidth="1"/>
    <col min="14" max="14" width="16.140625" style="26" customWidth="1"/>
    <col min="15" max="15" width="17.140625" style="26" customWidth="1"/>
    <col min="16" max="16" width="14.85546875" style="26" customWidth="1"/>
    <col min="17" max="17" width="17.7109375" style="26" customWidth="1"/>
    <col min="18" max="18" width="17.140625" style="26" customWidth="1"/>
    <col min="19" max="19" width="18.140625" style="33" customWidth="1"/>
    <col min="20" max="20" width="16.28515625" style="26" customWidth="1"/>
    <col min="21" max="21" width="15.85546875" style="26" customWidth="1"/>
    <col min="22" max="22" width="14.85546875" style="26" customWidth="1"/>
    <col min="23" max="23" width="15.85546875" style="26" customWidth="1"/>
    <col min="24" max="24" width="14.28515625" style="26" customWidth="1"/>
    <col min="25" max="25" width="14.85546875" style="26" customWidth="1"/>
    <col min="26" max="26" width="14.140625" style="26" customWidth="1"/>
    <col min="27" max="27" width="16.85546875" style="26" customWidth="1"/>
    <col min="28" max="28" width="17.5703125" style="26" customWidth="1"/>
    <col min="29" max="29" width="15.28515625" style="26" customWidth="1"/>
    <col min="30" max="30" width="19.7109375" style="26" customWidth="1"/>
    <col min="31" max="31" width="17.42578125" style="26" customWidth="1"/>
    <col min="32" max="32" width="12" style="26" customWidth="1"/>
    <col min="33" max="16384" width="11.42578125" style="26"/>
  </cols>
  <sheetData>
    <row r="1" spans="2:259" s="5" customFormat="1" x14ac:dyDescent="0.2">
      <c r="C1" s="6"/>
      <c r="D1" s="6"/>
      <c r="E1" s="34" t="s">
        <v>203</v>
      </c>
      <c r="F1" s="34"/>
      <c r="G1" s="34"/>
      <c r="H1" s="34"/>
      <c r="I1" s="34"/>
      <c r="J1" s="34"/>
      <c r="K1" s="6"/>
      <c r="L1" s="6"/>
      <c r="IN1" s="3"/>
      <c r="IO1" s="3"/>
    </row>
    <row r="2" spans="2:259" s="5" customFormat="1" x14ac:dyDescent="0.2">
      <c r="E2" s="34" t="s">
        <v>195</v>
      </c>
      <c r="F2" s="34"/>
      <c r="G2" s="34"/>
      <c r="H2" s="34"/>
      <c r="I2" s="34"/>
      <c r="J2" s="34"/>
      <c r="IN2" s="3"/>
      <c r="IO2" s="3"/>
    </row>
    <row r="3" spans="2:259" s="5" customFormat="1" x14ac:dyDescent="0.2">
      <c r="B3" s="2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IE3" s="3"/>
      <c r="IF3" s="3"/>
      <c r="IG3" s="3"/>
      <c r="IH3" s="3"/>
      <c r="II3" s="3"/>
      <c r="IJ3" s="3"/>
    </row>
    <row r="4" spans="2:259" s="5" customFormat="1" ht="18.75" customHeight="1" x14ac:dyDescent="0.2">
      <c r="B4" s="21"/>
      <c r="D4" s="688" t="s">
        <v>0</v>
      </c>
      <c r="E4" s="1066" t="str">
        <f>+'B) Reajuste Tarifas y Ocupación'!F5</f>
        <v>(DEPTO./DELEG.)</v>
      </c>
      <c r="F4" s="46"/>
      <c r="G4" s="47"/>
      <c r="H4" s="47"/>
      <c r="I4" s="47"/>
      <c r="J4" s="47"/>
      <c r="K4" s="47"/>
      <c r="O4" s="2"/>
      <c r="IE4" s="3"/>
      <c r="IF4" s="3"/>
      <c r="IG4" s="3"/>
      <c r="IH4" s="3"/>
      <c r="II4" s="3"/>
      <c r="IJ4" s="3"/>
    </row>
    <row r="5" spans="2:259" s="5" customFormat="1" x14ac:dyDescent="0.2">
      <c r="B5" s="21"/>
      <c r="D5" s="690"/>
      <c r="E5" s="692"/>
      <c r="F5" s="692"/>
      <c r="G5" s="692"/>
      <c r="H5" s="692"/>
      <c r="I5" s="692"/>
      <c r="J5" s="692"/>
      <c r="K5" s="692"/>
      <c r="O5" s="2"/>
      <c r="IE5" s="3"/>
      <c r="IF5" s="3"/>
      <c r="IG5" s="3"/>
      <c r="IH5" s="3"/>
      <c r="II5" s="3"/>
      <c r="IJ5" s="3"/>
    </row>
    <row r="6" spans="2:259" s="5" customFormat="1" x14ac:dyDescent="0.2">
      <c r="B6" s="21"/>
      <c r="D6" s="690"/>
      <c r="E6" s="692"/>
      <c r="F6" s="692"/>
      <c r="G6" s="692"/>
      <c r="H6" s="692"/>
      <c r="I6" s="692"/>
      <c r="J6" s="692"/>
      <c r="K6" s="692"/>
      <c r="O6" s="2"/>
      <c r="IE6" s="3"/>
      <c r="IF6" s="3"/>
      <c r="IG6" s="3"/>
      <c r="IH6" s="3"/>
      <c r="II6" s="3"/>
      <c r="IJ6" s="3"/>
    </row>
    <row r="7" spans="2:259" s="13" customFormat="1" ht="15.75" x14ac:dyDescent="0.2">
      <c r="B7" s="848" t="s">
        <v>157</v>
      </c>
      <c r="C7" s="848"/>
      <c r="D7" s="848"/>
      <c r="E7" s="848"/>
      <c r="F7" s="689"/>
      <c r="G7" s="48" t="s">
        <v>4</v>
      </c>
      <c r="H7" s="49">
        <v>7.1999999999999995E-2</v>
      </c>
      <c r="I7" s="689"/>
      <c r="J7" s="689"/>
      <c r="K7" s="692"/>
      <c r="O7" s="23"/>
      <c r="IE7" s="319"/>
      <c r="IF7" s="319"/>
      <c r="IG7" s="319"/>
      <c r="IH7" s="319"/>
      <c r="II7" s="319"/>
      <c r="IJ7" s="319"/>
    </row>
    <row r="9" spans="2:259" ht="15" customHeight="1" x14ac:dyDescent="0.2">
      <c r="B9" s="981" t="s">
        <v>113</v>
      </c>
      <c r="C9" s="984" t="s">
        <v>73</v>
      </c>
      <c r="D9" s="984" t="s">
        <v>74</v>
      </c>
      <c r="E9" s="981" t="s">
        <v>3</v>
      </c>
      <c r="F9" s="981" t="s">
        <v>81</v>
      </c>
      <c r="G9" s="981" t="s">
        <v>264</v>
      </c>
      <c r="H9" s="980" t="s">
        <v>265</v>
      </c>
      <c r="I9" s="981" t="s">
        <v>115</v>
      </c>
      <c r="J9" s="981" t="s">
        <v>116</v>
      </c>
      <c r="K9" s="980" t="s">
        <v>239</v>
      </c>
      <c r="L9" s="980" t="s">
        <v>114</v>
      </c>
      <c r="O9" s="25"/>
      <c r="P9" s="25"/>
      <c r="Q9" s="25"/>
      <c r="R9" s="25"/>
      <c r="S9" s="25"/>
      <c r="T9" s="25"/>
    </row>
    <row r="10" spans="2:259" ht="26.25" customHeight="1" x14ac:dyDescent="0.2">
      <c r="B10" s="981"/>
      <c r="C10" s="984"/>
      <c r="D10" s="984"/>
      <c r="E10" s="981"/>
      <c r="F10" s="981"/>
      <c r="G10" s="981"/>
      <c r="H10" s="980"/>
      <c r="I10" s="981"/>
      <c r="J10" s="981"/>
      <c r="K10" s="980"/>
      <c r="L10" s="980"/>
      <c r="M10" s="322"/>
      <c r="N10" s="42"/>
      <c r="O10" s="42"/>
      <c r="P10" s="321"/>
      <c r="Q10" s="321"/>
      <c r="R10" s="321"/>
      <c r="S10" s="322"/>
      <c r="T10" s="982"/>
      <c r="U10" s="982"/>
      <c r="V10" s="982"/>
      <c r="W10" s="982"/>
      <c r="X10" s="322"/>
    </row>
    <row r="11" spans="2:259" s="318" customFormat="1" x14ac:dyDescent="0.2">
      <c r="B11" s="983" t="str">
        <f>+'B) Reajuste Tarifas y Ocupación'!A12</f>
        <v>Jardín Infantil Olitas de Mar</v>
      </c>
      <c r="C11" s="330" t="s">
        <v>384</v>
      </c>
      <c r="D11" s="330" t="s">
        <v>385</v>
      </c>
      <c r="E11" s="330" t="s">
        <v>386</v>
      </c>
      <c r="F11" s="330" t="s">
        <v>208</v>
      </c>
      <c r="G11" s="327">
        <v>7234740</v>
      </c>
      <c r="H11" s="645">
        <f>+G11*(1+$H$7)</f>
        <v>7755641.2800000003</v>
      </c>
      <c r="I11" s="327">
        <v>290000</v>
      </c>
      <c r="J11" s="327">
        <v>127164</v>
      </c>
      <c r="K11" s="645">
        <f>SUM(H11:J11)</f>
        <v>8172805.2800000003</v>
      </c>
      <c r="L11" s="979">
        <f>SUM(K11:K21)</f>
        <v>40195561.702399999</v>
      </c>
      <c r="M11" s="643"/>
      <c r="N11" s="644"/>
      <c r="O11" s="326"/>
      <c r="P11" s="43"/>
      <c r="Q11" s="43"/>
      <c r="R11" s="43"/>
      <c r="S11" s="324"/>
      <c r="T11" s="323"/>
      <c r="U11" s="323"/>
      <c r="V11" s="323"/>
      <c r="W11" s="323"/>
      <c r="X11" s="325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</row>
    <row r="12" spans="2:259" s="318" customFormat="1" x14ac:dyDescent="0.2">
      <c r="B12" s="983"/>
      <c r="C12" s="330" t="s">
        <v>387</v>
      </c>
      <c r="D12" s="330" t="s">
        <v>388</v>
      </c>
      <c r="E12" s="330" t="s">
        <v>386</v>
      </c>
      <c r="F12" s="330" t="s">
        <v>208</v>
      </c>
      <c r="G12" s="327">
        <v>7073700</v>
      </c>
      <c r="H12" s="645">
        <f t="shared" ref="H12:H29" si="0">+G12*(1+$H$7)</f>
        <v>7583006.4000000004</v>
      </c>
      <c r="I12" s="327">
        <v>290000</v>
      </c>
      <c r="J12" s="327">
        <v>127164</v>
      </c>
      <c r="K12" s="645">
        <f t="shared" ref="K12:K29" si="1">SUM(H12:J12)</f>
        <v>8000170.4000000004</v>
      </c>
      <c r="L12" s="979"/>
      <c r="M12" s="322"/>
      <c r="N12" s="326"/>
      <c r="O12" s="326"/>
      <c r="P12" s="321"/>
      <c r="Q12" s="321"/>
      <c r="R12" s="321"/>
      <c r="S12" s="324"/>
      <c r="T12" s="323"/>
      <c r="U12" s="323"/>
      <c r="V12" s="323"/>
      <c r="W12" s="323"/>
      <c r="X12" s="325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</row>
    <row r="13" spans="2:259" s="318" customFormat="1" x14ac:dyDescent="0.2">
      <c r="B13" s="983"/>
      <c r="C13" s="330" t="s">
        <v>423</v>
      </c>
      <c r="D13" s="330" t="s">
        <v>424</v>
      </c>
      <c r="E13" s="330" t="s">
        <v>386</v>
      </c>
      <c r="F13" s="330" t="s">
        <v>208</v>
      </c>
      <c r="G13" s="327">
        <v>5212360</v>
      </c>
      <c r="H13" s="645">
        <f t="shared" si="0"/>
        <v>5587649.9199999999</v>
      </c>
      <c r="I13" s="327">
        <v>290000</v>
      </c>
      <c r="J13" s="327">
        <v>0</v>
      </c>
      <c r="K13" s="645">
        <f t="shared" si="1"/>
        <v>5877649.9199999999</v>
      </c>
      <c r="L13" s="979"/>
      <c r="M13" s="322"/>
      <c r="N13" s="326"/>
      <c r="O13" s="326"/>
      <c r="P13" s="321"/>
      <c r="Q13" s="321"/>
      <c r="R13" s="321"/>
      <c r="S13" s="324"/>
      <c r="T13" s="323"/>
      <c r="U13" s="323"/>
      <c r="V13" s="323"/>
      <c r="W13" s="323"/>
      <c r="X13" s="325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</row>
    <row r="14" spans="2:259" s="318" customFormat="1" x14ac:dyDescent="0.2">
      <c r="B14" s="983"/>
      <c r="C14" s="330" t="s">
        <v>425</v>
      </c>
      <c r="D14" s="330" t="s">
        <v>426</v>
      </c>
      <c r="E14" s="330" t="s">
        <v>267</v>
      </c>
      <c r="F14" s="330" t="s">
        <v>208</v>
      </c>
      <c r="G14" s="327">
        <v>6254832</v>
      </c>
      <c r="H14" s="645">
        <f t="shared" si="0"/>
        <v>6705179.9040000001</v>
      </c>
      <c r="I14" s="327">
        <v>290000</v>
      </c>
      <c r="J14" s="327">
        <v>0</v>
      </c>
      <c r="K14" s="645">
        <f t="shared" si="1"/>
        <v>6995179.9040000001</v>
      </c>
      <c r="L14" s="979"/>
      <c r="M14" s="322"/>
      <c r="N14" s="326"/>
      <c r="O14" s="326"/>
      <c r="P14" s="321"/>
      <c r="Q14" s="321"/>
      <c r="R14" s="321"/>
      <c r="S14" s="324"/>
      <c r="T14" s="323"/>
      <c r="U14" s="323"/>
      <c r="V14" s="323"/>
      <c r="W14" s="323"/>
      <c r="X14" s="325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</row>
    <row r="15" spans="2:259" s="318" customFormat="1" x14ac:dyDescent="0.2">
      <c r="B15" s="983"/>
      <c r="C15" s="330" t="s">
        <v>391</v>
      </c>
      <c r="D15" s="330" t="s">
        <v>392</v>
      </c>
      <c r="E15" s="330" t="s">
        <v>268</v>
      </c>
      <c r="F15" s="330" t="s">
        <v>208</v>
      </c>
      <c r="G15" s="327">
        <v>4647487.1999999993</v>
      </c>
      <c r="H15" s="645">
        <f>+G15*(1+$H$7)</f>
        <v>4982106.2783999993</v>
      </c>
      <c r="I15" s="327">
        <v>290000</v>
      </c>
      <c r="J15" s="327">
        <v>0</v>
      </c>
      <c r="K15" s="645">
        <f t="shared" si="1"/>
        <v>5272106.2783999993</v>
      </c>
      <c r="L15" s="979"/>
      <c r="M15" s="322"/>
      <c r="N15" s="326"/>
      <c r="O15" s="326"/>
      <c r="P15" s="321"/>
      <c r="Q15" s="321"/>
      <c r="R15" s="321"/>
      <c r="S15" s="324"/>
      <c r="T15" s="323"/>
      <c r="U15" s="323"/>
      <c r="V15" s="323"/>
      <c r="W15" s="323"/>
      <c r="X15" s="325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</row>
    <row r="16" spans="2:259" s="318" customFormat="1" x14ac:dyDescent="0.2">
      <c r="B16" s="983"/>
      <c r="C16" s="330"/>
      <c r="D16" s="330"/>
      <c r="E16" s="330"/>
      <c r="F16" s="330"/>
      <c r="G16" s="327"/>
      <c r="H16" s="645">
        <f t="shared" ref="H16" si="2">+G16*(1+$H$7)</f>
        <v>0</v>
      </c>
      <c r="I16" s="327"/>
      <c r="J16" s="327"/>
      <c r="K16" s="645">
        <f t="shared" si="1"/>
        <v>0</v>
      </c>
      <c r="L16" s="979"/>
      <c r="M16" s="675"/>
      <c r="N16" s="326"/>
      <c r="O16" s="326"/>
      <c r="P16" s="321"/>
      <c r="Q16" s="321"/>
      <c r="R16" s="321"/>
      <c r="S16" s="324"/>
      <c r="T16" s="323"/>
      <c r="U16" s="323"/>
      <c r="V16" s="323"/>
      <c r="W16" s="323"/>
      <c r="X16" s="325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</row>
    <row r="17" spans="2:259" s="318" customFormat="1" x14ac:dyDescent="0.2">
      <c r="B17" s="983"/>
      <c r="C17" s="330" t="s">
        <v>433</v>
      </c>
      <c r="D17" s="330" t="s">
        <v>434</v>
      </c>
      <c r="E17" s="330" t="s">
        <v>267</v>
      </c>
      <c r="F17" s="330" t="s">
        <v>220</v>
      </c>
      <c r="G17" s="327">
        <v>5212360</v>
      </c>
      <c r="H17" s="645">
        <f t="shared" ref="H17" si="3">+G17*(1+$H$7)</f>
        <v>5587649.9199999999</v>
      </c>
      <c r="I17" s="327">
        <v>290000</v>
      </c>
      <c r="J17" s="327">
        <v>0</v>
      </c>
      <c r="K17" s="645">
        <f t="shared" ref="K17" si="4">SUM(H17:J17)</f>
        <v>5877649.9199999999</v>
      </c>
      <c r="L17" s="979"/>
      <c r="M17" s="322"/>
      <c r="N17" s="326"/>
      <c r="O17" s="326"/>
      <c r="P17" s="321"/>
      <c r="Q17" s="321"/>
      <c r="R17" s="321"/>
      <c r="S17" s="324"/>
      <c r="T17" s="323"/>
      <c r="U17" s="323"/>
      <c r="V17" s="323"/>
      <c r="W17" s="323"/>
      <c r="X17" s="325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</row>
    <row r="18" spans="2:259" s="318" customFormat="1" x14ac:dyDescent="0.2">
      <c r="B18" s="983"/>
      <c r="C18" s="330" t="s">
        <v>427</v>
      </c>
      <c r="D18" s="330" t="s">
        <v>428</v>
      </c>
      <c r="E18" s="330" t="s">
        <v>429</v>
      </c>
      <c r="F18" s="330"/>
      <c r="G18" s="327"/>
      <c r="H18" s="645">
        <f t="shared" si="0"/>
        <v>0</v>
      </c>
      <c r="I18" s="327">
        <v>0</v>
      </c>
      <c r="J18" s="327">
        <v>0</v>
      </c>
      <c r="K18" s="645">
        <f t="shared" si="1"/>
        <v>0</v>
      </c>
      <c r="L18" s="979"/>
      <c r="M18" s="322"/>
      <c r="N18" s="326"/>
      <c r="O18" s="326"/>
      <c r="P18" s="321"/>
      <c r="Q18" s="321"/>
      <c r="R18" s="321"/>
      <c r="S18" s="324"/>
      <c r="T18" s="323"/>
      <c r="U18" s="323"/>
      <c r="V18" s="323"/>
      <c r="W18" s="323"/>
      <c r="X18" s="325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</row>
    <row r="19" spans="2:259" s="318" customFormat="1" x14ac:dyDescent="0.2">
      <c r="B19" s="983"/>
      <c r="C19" s="330" t="s">
        <v>437</v>
      </c>
      <c r="D19" s="330" t="s">
        <v>438</v>
      </c>
      <c r="E19" s="330" t="s">
        <v>398</v>
      </c>
      <c r="F19" s="330"/>
      <c r="G19" s="327"/>
      <c r="H19" s="645">
        <f t="shared" si="0"/>
        <v>0</v>
      </c>
      <c r="I19" s="327">
        <v>0</v>
      </c>
      <c r="J19" s="327">
        <v>0</v>
      </c>
      <c r="K19" s="645">
        <f t="shared" si="1"/>
        <v>0</v>
      </c>
      <c r="L19" s="979"/>
      <c r="M19" s="322"/>
      <c r="N19" s="326"/>
      <c r="O19" s="326"/>
      <c r="P19" s="321"/>
      <c r="Q19" s="321"/>
      <c r="R19" s="321"/>
      <c r="S19" s="324"/>
      <c r="T19" s="323"/>
      <c r="U19" s="323"/>
      <c r="V19" s="323"/>
      <c r="W19" s="323"/>
      <c r="X19" s="325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</row>
    <row r="20" spans="2:259" s="318" customFormat="1" x14ac:dyDescent="0.2">
      <c r="B20" s="983"/>
      <c r="C20" s="330" t="s">
        <v>439</v>
      </c>
      <c r="D20" s="330" t="s">
        <v>440</v>
      </c>
      <c r="E20" s="330" t="s">
        <v>398</v>
      </c>
      <c r="F20" s="330"/>
      <c r="G20" s="327"/>
      <c r="H20" s="645">
        <f t="shared" si="0"/>
        <v>0</v>
      </c>
      <c r="I20" s="327">
        <v>0</v>
      </c>
      <c r="J20" s="327">
        <v>0</v>
      </c>
      <c r="K20" s="645">
        <f t="shared" si="1"/>
        <v>0</v>
      </c>
      <c r="L20" s="979"/>
      <c r="M20" s="322"/>
      <c r="N20" s="326"/>
      <c r="O20" s="326"/>
      <c r="P20" s="321"/>
      <c r="Q20" s="321"/>
      <c r="R20" s="321"/>
      <c r="S20" s="324"/>
      <c r="T20" s="323"/>
      <c r="U20" s="323"/>
      <c r="V20" s="323"/>
      <c r="W20" s="323"/>
      <c r="X20" s="325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</row>
    <row r="21" spans="2:259" s="318" customFormat="1" x14ac:dyDescent="0.2">
      <c r="B21" s="983"/>
      <c r="C21" s="330" t="s">
        <v>432</v>
      </c>
      <c r="D21" s="330" t="s">
        <v>436</v>
      </c>
      <c r="E21" s="330" t="s">
        <v>398</v>
      </c>
      <c r="F21" s="330"/>
      <c r="G21" s="327"/>
      <c r="H21" s="645">
        <f>+G21*(1+$H$7)</f>
        <v>0</v>
      </c>
      <c r="I21" s="327">
        <v>0</v>
      </c>
      <c r="J21" s="327">
        <v>0</v>
      </c>
      <c r="K21" s="645">
        <f>SUM(H21:J21)</f>
        <v>0</v>
      </c>
      <c r="L21" s="979"/>
      <c r="M21" s="322"/>
      <c r="N21" s="326"/>
      <c r="O21" s="326"/>
      <c r="P21" s="321"/>
      <c r="Q21" s="321"/>
      <c r="R21" s="321"/>
      <c r="S21" s="324"/>
      <c r="T21" s="323"/>
      <c r="U21" s="323"/>
      <c r="V21" s="323"/>
      <c r="W21" s="323"/>
      <c r="X21" s="325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</row>
    <row r="22" spans="2:259" s="318" customFormat="1" ht="12.75" customHeight="1" x14ac:dyDescent="0.2">
      <c r="B22" s="978" t="s">
        <v>225</v>
      </c>
      <c r="C22" s="330" t="s">
        <v>389</v>
      </c>
      <c r="D22" s="330" t="s">
        <v>390</v>
      </c>
      <c r="E22" s="330" t="s">
        <v>266</v>
      </c>
      <c r="F22" s="330" t="s">
        <v>219</v>
      </c>
      <c r="G22" s="327">
        <v>9358653.4871999994</v>
      </c>
      <c r="H22" s="645">
        <f>+G22*(1+$H$7)</f>
        <v>10032476.538278399</v>
      </c>
      <c r="I22" s="327">
        <v>290000</v>
      </c>
      <c r="J22" s="327">
        <v>0</v>
      </c>
      <c r="K22" s="645">
        <f>SUM(H22:J22)</f>
        <v>10322476.538278399</v>
      </c>
      <c r="L22" s="979">
        <f>SUM(K17:K29)</f>
        <v>28284179.4265984</v>
      </c>
      <c r="M22" s="322"/>
      <c r="N22" s="326"/>
      <c r="O22" s="326"/>
      <c r="P22" s="321"/>
      <c r="Q22" s="321"/>
      <c r="R22" s="321"/>
      <c r="S22" s="324"/>
      <c r="T22" s="323"/>
      <c r="U22" s="323"/>
      <c r="V22" s="323"/>
      <c r="W22" s="323"/>
      <c r="X22" s="325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</row>
    <row r="23" spans="2:259" s="318" customFormat="1" ht="12.75" customHeight="1" x14ac:dyDescent="0.2">
      <c r="B23" s="978"/>
      <c r="C23" s="330" t="s">
        <v>393</v>
      </c>
      <c r="D23" s="330" t="s">
        <v>394</v>
      </c>
      <c r="E23" s="639" t="s">
        <v>360</v>
      </c>
      <c r="F23" s="330" t="s">
        <v>220</v>
      </c>
      <c r="G23" s="327">
        <v>5400409.5600000005</v>
      </c>
      <c r="H23" s="645">
        <f>+G23*(1+$H$7)</f>
        <v>5789239.048320001</v>
      </c>
      <c r="I23" s="327">
        <v>290000</v>
      </c>
      <c r="J23" s="327">
        <v>127164</v>
      </c>
      <c r="K23" s="645">
        <f t="shared" si="1"/>
        <v>6206403.048320001</v>
      </c>
      <c r="L23" s="979"/>
      <c r="M23" s="322"/>
      <c r="N23" s="326"/>
      <c r="O23" s="326"/>
      <c r="P23" s="321"/>
      <c r="Q23" s="321"/>
      <c r="R23" s="321"/>
      <c r="S23" s="324"/>
      <c r="T23" s="323"/>
      <c r="U23" s="323"/>
      <c r="V23" s="323"/>
      <c r="W23" s="323"/>
      <c r="X23" s="325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</row>
    <row r="24" spans="2:259" s="318" customFormat="1" ht="12.75" customHeight="1" x14ac:dyDescent="0.2">
      <c r="B24" s="978"/>
      <c r="C24" s="330" t="s">
        <v>421</v>
      </c>
      <c r="D24" s="330" t="s">
        <v>422</v>
      </c>
      <c r="E24" s="330" t="s">
        <v>267</v>
      </c>
      <c r="F24" s="330" t="s">
        <v>220</v>
      </c>
      <c r="G24" s="327">
        <v>5212360</v>
      </c>
      <c r="H24" s="645">
        <f t="shared" si="0"/>
        <v>5587649.9199999999</v>
      </c>
      <c r="I24" s="327">
        <v>290000</v>
      </c>
      <c r="J24" s="327">
        <v>0</v>
      </c>
      <c r="K24" s="645">
        <f t="shared" si="1"/>
        <v>5877649.9199999999</v>
      </c>
      <c r="L24" s="979"/>
      <c r="M24" s="322"/>
      <c r="N24" s="326"/>
      <c r="O24" s="326"/>
      <c r="P24" s="321"/>
      <c r="Q24" s="321"/>
      <c r="R24" s="321"/>
      <c r="S24" s="324"/>
      <c r="T24" s="323"/>
      <c r="U24" s="323"/>
      <c r="V24" s="323"/>
      <c r="W24" s="323"/>
      <c r="X24" s="325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</row>
    <row r="25" spans="2:259" s="318" customFormat="1" ht="12.75" customHeight="1" x14ac:dyDescent="0.2">
      <c r="B25" s="978"/>
      <c r="C25" s="330" t="s">
        <v>430</v>
      </c>
      <c r="D25" s="330" t="s">
        <v>431</v>
      </c>
      <c r="E25" s="330" t="s">
        <v>397</v>
      </c>
      <c r="F25" s="330" t="s">
        <v>220</v>
      </c>
      <c r="G25" s="327">
        <v>0</v>
      </c>
      <c r="H25" s="645">
        <v>0</v>
      </c>
      <c r="I25" s="327">
        <v>0</v>
      </c>
      <c r="J25" s="327">
        <v>0</v>
      </c>
      <c r="K25" s="645">
        <f>SUM(H25:J25)</f>
        <v>0</v>
      </c>
      <c r="L25" s="979"/>
      <c r="M25" s="322"/>
      <c r="N25" s="326"/>
      <c r="O25" s="326"/>
      <c r="P25" s="321"/>
      <c r="Q25" s="321"/>
      <c r="R25" s="321"/>
      <c r="S25" s="324"/>
      <c r="T25" s="323"/>
      <c r="U25" s="323"/>
      <c r="V25" s="323"/>
      <c r="W25" s="323"/>
      <c r="X25" s="325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</row>
    <row r="26" spans="2:259" s="318" customFormat="1" ht="12.75" customHeight="1" x14ac:dyDescent="0.2">
      <c r="B26" s="978"/>
      <c r="C26" s="330"/>
      <c r="D26" s="330"/>
      <c r="E26" s="330"/>
      <c r="F26" s="330"/>
      <c r="G26" s="327"/>
      <c r="H26" s="645">
        <f t="shared" ref="H26" si="5">+G26*(1+$H$7)</f>
        <v>0</v>
      </c>
      <c r="I26" s="327"/>
      <c r="J26" s="327"/>
      <c r="K26" s="645">
        <f t="shared" si="1"/>
        <v>0</v>
      </c>
      <c r="L26" s="979"/>
      <c r="M26" s="322"/>
      <c r="N26" s="326"/>
      <c r="O26" s="326"/>
      <c r="P26" s="321"/>
      <c r="Q26" s="321"/>
      <c r="R26" s="321"/>
      <c r="S26" s="324"/>
      <c r="T26" s="323"/>
      <c r="U26" s="323"/>
      <c r="V26" s="323"/>
      <c r="W26" s="323"/>
      <c r="X26" s="325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</row>
    <row r="27" spans="2:259" s="318" customFormat="1" ht="12.75" customHeight="1" x14ac:dyDescent="0.2">
      <c r="B27" s="978"/>
      <c r="C27" s="330"/>
      <c r="D27" s="330"/>
      <c r="E27" s="330"/>
      <c r="F27" s="330"/>
      <c r="G27" s="327"/>
      <c r="H27" s="645">
        <f t="shared" si="0"/>
        <v>0</v>
      </c>
      <c r="I27" s="327"/>
      <c r="J27" s="327"/>
      <c r="K27" s="645">
        <f t="shared" si="1"/>
        <v>0</v>
      </c>
      <c r="L27" s="979"/>
      <c r="M27" s="322"/>
      <c r="N27" s="326"/>
      <c r="O27" s="326"/>
      <c r="P27" s="321"/>
      <c r="Q27" s="321"/>
      <c r="R27" s="321"/>
      <c r="S27" s="324"/>
      <c r="T27" s="323"/>
      <c r="U27" s="323"/>
      <c r="V27" s="323"/>
      <c r="W27" s="323"/>
      <c r="X27" s="325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</row>
    <row r="28" spans="2:259" s="318" customFormat="1" ht="12.75" customHeight="1" x14ac:dyDescent="0.2">
      <c r="B28" s="978"/>
      <c r="C28" s="330"/>
      <c r="D28" s="330"/>
      <c r="E28" s="330"/>
      <c r="F28" s="330"/>
      <c r="G28" s="327"/>
      <c r="H28" s="645">
        <f t="shared" si="0"/>
        <v>0</v>
      </c>
      <c r="I28" s="327"/>
      <c r="J28" s="327"/>
      <c r="K28" s="645">
        <f t="shared" si="1"/>
        <v>0</v>
      </c>
      <c r="L28" s="979"/>
      <c r="M28" s="322"/>
      <c r="N28" s="326"/>
      <c r="O28" s="326"/>
      <c r="P28" s="321"/>
      <c r="Q28" s="321"/>
      <c r="R28" s="321"/>
      <c r="S28" s="324"/>
      <c r="T28" s="323"/>
      <c r="U28" s="323"/>
      <c r="V28" s="323"/>
      <c r="W28" s="323"/>
      <c r="X28" s="325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</row>
    <row r="29" spans="2:259" s="318" customFormat="1" ht="13.5" customHeight="1" x14ac:dyDescent="0.2">
      <c r="B29" s="978"/>
      <c r="C29" s="330"/>
      <c r="D29" s="330"/>
      <c r="E29" s="330"/>
      <c r="F29" s="330"/>
      <c r="G29" s="327"/>
      <c r="H29" s="645">
        <f t="shared" si="0"/>
        <v>0</v>
      </c>
      <c r="I29" s="327"/>
      <c r="J29" s="327"/>
      <c r="K29" s="645">
        <f t="shared" si="1"/>
        <v>0</v>
      </c>
      <c r="L29" s="979"/>
      <c r="M29" s="322"/>
      <c r="N29" s="326"/>
      <c r="O29" s="326"/>
      <c r="P29" s="321"/>
      <c r="Q29" s="321"/>
      <c r="R29" s="321"/>
      <c r="S29" s="324"/>
      <c r="T29" s="323"/>
      <c r="U29" s="323"/>
      <c r="V29" s="323"/>
      <c r="W29" s="323"/>
      <c r="X29" s="325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</row>
    <row r="30" spans="2:259" s="318" customFormat="1" ht="12.75" customHeight="1" x14ac:dyDescent="0.2">
      <c r="B30" s="976" t="s">
        <v>226</v>
      </c>
      <c r="C30" s="467"/>
      <c r="D30" s="467"/>
      <c r="E30" s="467"/>
      <c r="F30" s="467"/>
      <c r="G30" s="468"/>
      <c r="H30" s="468"/>
      <c r="I30" s="468"/>
      <c r="J30" s="468"/>
      <c r="K30" s="468"/>
      <c r="L30" s="977"/>
      <c r="M30" s="322"/>
      <c r="N30" s="326"/>
      <c r="O30" s="326"/>
      <c r="P30" s="321"/>
      <c r="Q30" s="321"/>
      <c r="R30" s="321"/>
      <c r="S30" s="324"/>
      <c r="T30" s="323"/>
      <c r="U30" s="323"/>
      <c r="V30" s="323"/>
      <c r="W30" s="323"/>
      <c r="X30" s="325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</row>
    <row r="31" spans="2:259" s="318" customFormat="1" ht="12.75" customHeight="1" x14ac:dyDescent="0.2">
      <c r="B31" s="976"/>
      <c r="C31" s="467"/>
      <c r="D31" s="467"/>
      <c r="E31" s="467"/>
      <c r="F31" s="467"/>
      <c r="G31" s="468"/>
      <c r="H31" s="468"/>
      <c r="I31" s="468"/>
      <c r="J31" s="468"/>
      <c r="K31" s="468"/>
      <c r="L31" s="977"/>
      <c r="M31" s="322"/>
      <c r="N31" s="326"/>
      <c r="O31" s="326"/>
      <c r="P31" s="321"/>
      <c r="Q31" s="321"/>
      <c r="R31" s="321"/>
      <c r="S31" s="324"/>
      <c r="T31" s="323"/>
      <c r="U31" s="323"/>
      <c r="V31" s="323"/>
      <c r="W31" s="323"/>
      <c r="X31" s="325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</row>
    <row r="32" spans="2:259" s="318" customFormat="1" ht="12.75" customHeight="1" x14ac:dyDescent="0.2">
      <c r="B32" s="976"/>
      <c r="C32" s="467"/>
      <c r="D32" s="467"/>
      <c r="E32" s="467"/>
      <c r="F32" s="467"/>
      <c r="G32" s="468"/>
      <c r="H32" s="468"/>
      <c r="I32" s="468"/>
      <c r="J32" s="468"/>
      <c r="K32" s="468"/>
      <c r="L32" s="977"/>
      <c r="M32" s="322"/>
      <c r="N32" s="326"/>
      <c r="O32" s="326"/>
      <c r="P32" s="321"/>
      <c r="Q32" s="321"/>
      <c r="R32" s="321"/>
      <c r="S32" s="324"/>
      <c r="T32" s="323"/>
      <c r="U32" s="323"/>
      <c r="V32" s="323"/>
      <c r="W32" s="323"/>
      <c r="X32" s="325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</row>
    <row r="33" spans="2:259" s="318" customFormat="1" ht="12.75" customHeight="1" x14ac:dyDescent="0.2">
      <c r="B33" s="976"/>
      <c r="C33" s="467"/>
      <c r="D33" s="467"/>
      <c r="E33" s="467"/>
      <c r="F33" s="467"/>
      <c r="G33" s="468"/>
      <c r="H33" s="468"/>
      <c r="I33" s="468"/>
      <c r="J33" s="468"/>
      <c r="K33" s="468"/>
      <c r="L33" s="977"/>
      <c r="M33" s="322"/>
      <c r="N33" s="326"/>
      <c r="O33" s="326"/>
      <c r="P33" s="321"/>
      <c r="Q33" s="321"/>
      <c r="R33" s="321"/>
      <c r="S33" s="324"/>
      <c r="T33" s="323"/>
      <c r="U33" s="323"/>
      <c r="V33" s="323"/>
      <c r="W33" s="323"/>
      <c r="X33" s="325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</row>
    <row r="34" spans="2:259" s="318" customFormat="1" ht="12.75" customHeight="1" x14ac:dyDescent="0.2">
      <c r="B34" s="976"/>
      <c r="C34" s="467"/>
      <c r="D34" s="467"/>
      <c r="E34" s="467"/>
      <c r="F34" s="467"/>
      <c r="G34" s="468"/>
      <c r="H34" s="468"/>
      <c r="I34" s="468"/>
      <c r="J34" s="468"/>
      <c r="K34" s="468"/>
      <c r="L34" s="977"/>
      <c r="M34" s="322"/>
      <c r="N34" s="326"/>
      <c r="O34" s="326"/>
      <c r="P34" s="321"/>
      <c r="Q34" s="321"/>
      <c r="R34" s="321"/>
      <c r="S34" s="324"/>
      <c r="T34" s="323"/>
      <c r="U34" s="323"/>
      <c r="V34" s="323"/>
      <c r="W34" s="323"/>
      <c r="X34" s="325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</row>
    <row r="35" spans="2:259" s="318" customFormat="1" ht="12.75" customHeight="1" thickBot="1" x14ac:dyDescent="0.25">
      <c r="B35" s="976"/>
      <c r="C35" s="469"/>
      <c r="D35" s="467"/>
      <c r="E35" s="467"/>
      <c r="F35" s="467"/>
      <c r="G35" s="468"/>
      <c r="H35" s="468"/>
      <c r="I35" s="468"/>
      <c r="J35" s="468"/>
      <c r="K35" s="468"/>
      <c r="L35" s="977"/>
      <c r="M35" s="322"/>
      <c r="N35" s="326"/>
      <c r="O35" s="326"/>
      <c r="P35" s="321"/>
      <c r="Q35" s="321"/>
      <c r="R35" s="321"/>
      <c r="S35" s="324"/>
      <c r="T35" s="323"/>
      <c r="U35" s="323"/>
      <c r="V35" s="323"/>
      <c r="W35" s="323"/>
      <c r="X35" s="325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</row>
    <row r="36" spans="2:259" ht="12.75" customHeight="1" thickBot="1" x14ac:dyDescent="0.25">
      <c r="B36" s="24"/>
      <c r="C36" s="35"/>
      <c r="D36" s="35"/>
      <c r="E36" s="36"/>
      <c r="F36" s="36"/>
      <c r="G36" s="36"/>
      <c r="H36" s="36"/>
      <c r="I36" s="36"/>
      <c r="J36" s="36"/>
      <c r="K36" s="174" t="s">
        <v>94</v>
      </c>
      <c r="L36" s="175">
        <f>SUM(L11:L35)</f>
        <v>68479741.128998399</v>
      </c>
      <c r="N36" s="25"/>
      <c r="O36" s="25"/>
      <c r="P36" s="25"/>
      <c r="Q36" s="326"/>
      <c r="R36" s="326"/>
      <c r="S36" s="326"/>
      <c r="T36" s="27"/>
      <c r="U36" s="27"/>
      <c r="V36" s="28"/>
      <c r="W36" s="28"/>
      <c r="X36" s="29"/>
      <c r="Y36" s="29"/>
    </row>
    <row r="37" spans="2:259" ht="12.75" customHeight="1" x14ac:dyDescent="0.2">
      <c r="B37" s="24"/>
      <c r="C37" s="35"/>
      <c r="D37" s="35"/>
      <c r="E37" s="36"/>
      <c r="F37" s="36"/>
      <c r="G37" s="36"/>
      <c r="H37" s="682" t="s">
        <v>445</v>
      </c>
      <c r="I37" s="36"/>
      <c r="J37" s="36"/>
      <c r="K37" s="30"/>
      <c r="L37" s="30"/>
      <c r="M37" s="30"/>
      <c r="N37" s="25"/>
      <c r="O37" s="25"/>
      <c r="P37" s="25"/>
      <c r="Q37" s="326"/>
      <c r="R37" s="326"/>
      <c r="S37" s="326"/>
      <c r="T37" s="27"/>
      <c r="U37" s="27"/>
      <c r="V37" s="28"/>
      <c r="W37" s="28"/>
      <c r="X37" s="29"/>
      <c r="Y37" s="29"/>
    </row>
    <row r="38" spans="2:259" ht="12.75" customHeight="1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9"/>
      <c r="Y38" s="29"/>
    </row>
    <row r="39" spans="2:259" ht="12.75" customHeight="1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9"/>
      <c r="Y39" s="29"/>
    </row>
    <row r="40" spans="2:259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9"/>
      <c r="Y40" s="29"/>
    </row>
    <row r="41" spans="2:259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9"/>
      <c r="Y41" s="29"/>
    </row>
    <row r="42" spans="2:259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9"/>
      <c r="Y42" s="29"/>
    </row>
    <row r="43" spans="2:259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8"/>
      <c r="X43" s="29"/>
      <c r="Y43" s="29"/>
    </row>
  </sheetData>
  <sheetProtection algorithmName="SHA-512" hashValue="uZIL2Kj1Feu+rRWhAr9yX5APZb0G2XTyjywdAR/92t9D4ToWm3NspPI0ulpZETWPLa3brfZBBHxMKsa7XWGRYw==" saltValue="NlcgltRKfFjzlFdCPzqEbw==" spinCount="100000" sheet="1" objects="1" scenarios="1"/>
  <mergeCells count="19">
    <mergeCell ref="T10:W10"/>
    <mergeCell ref="B11:B21"/>
    <mergeCell ref="L11:L21"/>
    <mergeCell ref="F9:F10"/>
    <mergeCell ref="B7:E7"/>
    <mergeCell ref="B9:B10"/>
    <mergeCell ref="C9:C10"/>
    <mergeCell ref="D9:D10"/>
    <mergeCell ref="E9:E10"/>
    <mergeCell ref="B30:B35"/>
    <mergeCell ref="L30:L35"/>
    <mergeCell ref="B22:B29"/>
    <mergeCell ref="L22:L29"/>
    <mergeCell ref="K9:K10"/>
    <mergeCell ref="L9:L10"/>
    <mergeCell ref="G9:G10"/>
    <mergeCell ref="H9:H10"/>
    <mergeCell ref="I9:I10"/>
    <mergeCell ref="J9:J10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zoomScale="80" zoomScaleNormal="80" workbookViewId="0">
      <selection activeCell="J17" sqref="J17"/>
    </sheetView>
  </sheetViews>
  <sheetFormatPr baseColWidth="10" defaultColWidth="10.7109375" defaultRowHeight="12.75" x14ac:dyDescent="0.2"/>
  <cols>
    <col min="1" max="1" width="33" style="3" customWidth="1"/>
    <col min="2" max="2" width="33" style="9" bestFit="1" customWidth="1"/>
    <col min="3" max="12" width="14.7109375" style="9" customWidth="1"/>
    <col min="13" max="13" width="33.5703125" style="3" bestFit="1" customWidth="1"/>
    <col min="14" max="14" width="14.7109375" style="9" customWidth="1"/>
    <col min="15" max="15" width="33.5703125" style="3" bestFit="1" customWidth="1"/>
    <col min="16" max="16" width="14.7109375" style="9" customWidth="1"/>
    <col min="17" max="17" width="14.28515625" style="3" customWidth="1"/>
    <col min="18" max="16384" width="10.7109375" style="3"/>
  </cols>
  <sheetData>
    <row r="1" spans="1:19" x14ac:dyDescent="0.2">
      <c r="B1" s="34"/>
      <c r="C1" s="34"/>
      <c r="D1" s="34" t="s">
        <v>204</v>
      </c>
      <c r="E1" s="34"/>
      <c r="F1" s="34"/>
      <c r="G1" s="34"/>
      <c r="H1" s="34"/>
      <c r="I1" s="34"/>
      <c r="J1" s="34"/>
      <c r="K1" s="34"/>
      <c r="L1" s="34"/>
      <c r="M1" s="34"/>
      <c r="N1" s="34"/>
      <c r="P1" s="34"/>
    </row>
    <row r="2" spans="1:19" x14ac:dyDescent="0.2">
      <c r="B2" s="34"/>
      <c r="C2" s="34"/>
      <c r="D2" s="34" t="s">
        <v>196</v>
      </c>
      <c r="E2" s="34"/>
      <c r="F2" s="34"/>
      <c r="G2" s="34"/>
      <c r="H2" s="34"/>
      <c r="I2" s="34"/>
      <c r="J2" s="34"/>
      <c r="K2" s="34"/>
      <c r="L2" s="34"/>
      <c r="M2" s="34"/>
      <c r="N2" s="34"/>
      <c r="P2" s="34"/>
    </row>
    <row r="3" spans="1:19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N3" s="13"/>
      <c r="P3" s="13"/>
    </row>
    <row r="4" spans="1:19" ht="18.75" customHeight="1" x14ac:dyDescent="0.2">
      <c r="C4" s="16" t="s">
        <v>0</v>
      </c>
      <c r="D4" s="990" t="str">
        <f>+'B) Reajuste Tarifas y Ocupación'!F5</f>
        <v>(DEPTO./DELEG.)</v>
      </c>
      <c r="E4" s="991"/>
      <c r="F4" s="992"/>
      <c r="G4" s="195"/>
      <c r="H4" s="195"/>
      <c r="I4" s="195"/>
      <c r="J4" s="195"/>
      <c r="K4" s="195"/>
      <c r="L4" s="195"/>
      <c r="N4" s="195"/>
      <c r="P4" s="195"/>
    </row>
    <row r="5" spans="1:19" x14ac:dyDescent="0.2">
      <c r="A5" s="8"/>
      <c r="B5" s="17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P5" s="195"/>
    </row>
    <row r="6" spans="1:19" x14ac:dyDescent="0.2">
      <c r="A6" s="8"/>
      <c r="B6" s="1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P6" s="195"/>
    </row>
    <row r="7" spans="1:19" ht="12.75" customHeight="1" x14ac:dyDescent="0.2">
      <c r="A7" s="1004" t="s">
        <v>128</v>
      </c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6"/>
      <c r="P7" s="44"/>
    </row>
    <row r="8" spans="1:19" x14ac:dyDescent="0.2">
      <c r="A8" s="1007"/>
      <c r="B8" s="1008"/>
      <c r="C8" s="1008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9"/>
      <c r="P8" s="44"/>
    </row>
    <row r="9" spans="1:19" x14ac:dyDescent="0.2">
      <c r="A9" s="1010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2"/>
      <c r="P9" s="44"/>
    </row>
    <row r="10" spans="1:19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9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9" ht="15.75" x14ac:dyDescent="0.2">
      <c r="A12" s="971" t="s">
        <v>158</v>
      </c>
      <c r="B12" s="971"/>
      <c r="C12" s="971"/>
      <c r="D12" s="971"/>
      <c r="E12" s="196"/>
      <c r="F12" s="40"/>
      <c r="G12" s="40"/>
      <c r="H12" s="40"/>
      <c r="I12" s="39"/>
      <c r="J12" s="39"/>
      <c r="K12" s="40"/>
      <c r="L12" s="40"/>
      <c r="M12" s="40"/>
      <c r="N12" s="40"/>
      <c r="O12" s="40"/>
      <c r="P12" s="40"/>
    </row>
    <row r="13" spans="1:19" ht="13.5" thickBot="1" x14ac:dyDescent="0.25">
      <c r="A13" s="8"/>
      <c r="B13" s="1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P13" s="195"/>
    </row>
    <row r="14" spans="1:19" ht="20.25" customHeight="1" x14ac:dyDescent="0.2">
      <c r="A14" s="995" t="s">
        <v>133</v>
      </c>
      <c r="B14" s="997" t="s">
        <v>5</v>
      </c>
      <c r="C14" s="816" t="s">
        <v>234</v>
      </c>
      <c r="D14" s="817"/>
      <c r="E14" s="817"/>
      <c r="F14" s="817"/>
      <c r="G14" s="818"/>
      <c r="H14" s="1001" t="s">
        <v>139</v>
      </c>
      <c r="I14" s="1002"/>
      <c r="J14" s="1002"/>
      <c r="K14" s="1002"/>
      <c r="L14" s="1003"/>
      <c r="M14" s="999" t="s">
        <v>109</v>
      </c>
      <c r="N14" s="1000"/>
      <c r="O14" s="993" t="s">
        <v>110</v>
      </c>
      <c r="P14" s="994"/>
      <c r="Q14" s="988" t="s">
        <v>129</v>
      </c>
    </row>
    <row r="15" spans="1:19" ht="70.5" customHeight="1" thickBot="1" x14ac:dyDescent="0.25">
      <c r="A15" s="996"/>
      <c r="B15" s="998"/>
      <c r="C15" s="272" t="s">
        <v>86</v>
      </c>
      <c r="D15" s="273" t="s">
        <v>134</v>
      </c>
      <c r="E15" s="273" t="s">
        <v>135</v>
      </c>
      <c r="F15" s="273" t="s">
        <v>87</v>
      </c>
      <c r="G15" s="274" t="s">
        <v>88</v>
      </c>
      <c r="H15" s="275" t="s">
        <v>86</v>
      </c>
      <c r="I15" s="276" t="s">
        <v>134</v>
      </c>
      <c r="J15" s="276" t="s">
        <v>135</v>
      </c>
      <c r="K15" s="276" t="s">
        <v>87</v>
      </c>
      <c r="L15" s="277" t="s">
        <v>88</v>
      </c>
      <c r="M15" s="278" t="s">
        <v>72</v>
      </c>
      <c r="N15" s="173" t="s">
        <v>85</v>
      </c>
      <c r="O15" s="279" t="s">
        <v>72</v>
      </c>
      <c r="P15" s="173" t="s">
        <v>85</v>
      </c>
      <c r="Q15" s="989"/>
    </row>
    <row r="16" spans="1:19" ht="12.75" customHeight="1" x14ac:dyDescent="0.2">
      <c r="A16" s="985" t="str">
        <f>'B) Reajuste Tarifas y Ocupación'!A12</f>
        <v>Jardín Infantil Olitas de Mar</v>
      </c>
      <c r="B16" s="280" t="str">
        <f>+'B) Reajuste Tarifas y Ocupación'!B12</f>
        <v>Media jornada</v>
      </c>
      <c r="C16" s="257">
        <f>+'B) Reajuste Tarifas y Ocupación'!M12</f>
        <v>52300</v>
      </c>
      <c r="D16" s="258">
        <f>+'B) Reajuste Tarifas y Ocupación'!N12</f>
        <v>62700</v>
      </c>
      <c r="E16" s="258">
        <f>+'B) Reajuste Tarifas y Ocupación'!O12</f>
        <v>62700</v>
      </c>
      <c r="F16" s="258">
        <f>+'B) Reajuste Tarifas y Ocupación'!P12</f>
        <v>79100</v>
      </c>
      <c r="G16" s="259">
        <f>+'B) Reajuste Tarifas y Ocupación'!Q12</f>
        <v>127000</v>
      </c>
      <c r="H16" s="283">
        <f t="shared" ref="H16:K17" si="0">IFERROR(C16/$Q16,0)</f>
        <v>0.21791666666666668</v>
      </c>
      <c r="I16" s="124">
        <f t="shared" si="0"/>
        <v>0.26124999999999998</v>
      </c>
      <c r="J16" s="124">
        <f t="shared" si="0"/>
        <v>0.26124999999999998</v>
      </c>
      <c r="K16" s="124">
        <f t="shared" si="0"/>
        <v>0.32958333333333334</v>
      </c>
      <c r="L16" s="125">
        <f t="shared" ref="L16" si="1">IFERROR(G16/$Q16,0)</f>
        <v>0.52916666666666667</v>
      </c>
      <c r="M16" s="204" t="s">
        <v>271</v>
      </c>
      <c r="N16" s="176">
        <v>300000</v>
      </c>
      <c r="O16" s="204" t="s">
        <v>272</v>
      </c>
      <c r="P16" s="176">
        <v>180000</v>
      </c>
      <c r="Q16" s="285">
        <f>AVERAGE(N16,P16)</f>
        <v>240000</v>
      </c>
      <c r="R16" s="18"/>
      <c r="S16" s="19"/>
    </row>
    <row r="17" spans="1:19" ht="12.75" customHeight="1" x14ac:dyDescent="0.2">
      <c r="A17" s="986"/>
      <c r="B17" s="281" t="str">
        <f>+'B) Reajuste Tarifas y Ocupación'!B13</f>
        <v>Media jornada Extendida</v>
      </c>
      <c r="C17" s="260">
        <f>+'B) Reajuste Tarifas y Ocupación'!M13</f>
        <v>59700</v>
      </c>
      <c r="D17" s="256">
        <f>+'B) Reajuste Tarifas y Ocupación'!N13</f>
        <v>71600</v>
      </c>
      <c r="E17" s="256">
        <f>+'B) Reajuste Tarifas y Ocupación'!O13</f>
        <v>71600</v>
      </c>
      <c r="F17" s="256">
        <f>+'B) Reajuste Tarifas y Ocupación'!P13</f>
        <v>113100</v>
      </c>
      <c r="G17" s="261">
        <f>+'B) Reajuste Tarifas y Ocupación'!Q13</f>
        <v>168500</v>
      </c>
      <c r="H17" s="127">
        <f t="shared" si="0"/>
        <v>0.22528301886792454</v>
      </c>
      <c r="I17" s="126">
        <f t="shared" si="0"/>
        <v>0.270188679245283</v>
      </c>
      <c r="J17" s="126">
        <f t="shared" si="0"/>
        <v>0.270188679245283</v>
      </c>
      <c r="K17" s="126">
        <f t="shared" si="0"/>
        <v>0.42679245283018868</v>
      </c>
      <c r="L17" s="284">
        <f t="shared" ref="L17" si="2">IFERROR(G17/$Q17,0)</f>
        <v>0.63584905660377355</v>
      </c>
      <c r="M17" s="177" t="s">
        <v>271</v>
      </c>
      <c r="N17" s="178">
        <v>320000</v>
      </c>
      <c r="O17" s="177" t="s">
        <v>272</v>
      </c>
      <c r="P17" s="178">
        <v>210000</v>
      </c>
      <c r="Q17" s="286">
        <f>AVERAGE(N17,P17)</f>
        <v>265000</v>
      </c>
      <c r="R17" s="18"/>
      <c r="S17" s="19"/>
    </row>
    <row r="18" spans="1:19" ht="13.5" thickBot="1" x14ac:dyDescent="0.25">
      <c r="A18" s="987"/>
      <c r="B18" s="282" t="str">
        <f>+'B) Reajuste Tarifas y Ocupación'!B14</f>
        <v>Jornada Completa</v>
      </c>
      <c r="C18" s="262">
        <f>+'B) Reajuste Tarifas y Ocupación'!M14</f>
        <v>93600</v>
      </c>
      <c r="D18" s="263">
        <f>+'B) Reajuste Tarifas y Ocupación'!N14</f>
        <v>112300</v>
      </c>
      <c r="E18" s="263">
        <f>+'B) Reajuste Tarifas y Ocupación'!O14</f>
        <v>112300</v>
      </c>
      <c r="F18" s="263">
        <f>+'B) Reajuste Tarifas y Ocupación'!P14</f>
        <v>144900</v>
      </c>
      <c r="G18" s="264">
        <f>+'B) Reajuste Tarifas y Ocupación'!Q14</f>
        <v>232900</v>
      </c>
      <c r="H18" s="181">
        <f t="shared" ref="H18:H19" si="3">IFERROR(C18/$Q18,0)</f>
        <v>0.29249999999999998</v>
      </c>
      <c r="I18" s="182">
        <f t="shared" ref="I18:I19" si="4">IFERROR(D18/$Q18,0)</f>
        <v>0.35093750000000001</v>
      </c>
      <c r="J18" s="182">
        <f t="shared" ref="J18:J19" si="5">IFERROR(E18/$Q18,0)</f>
        <v>0.35093750000000001</v>
      </c>
      <c r="K18" s="182">
        <f t="shared" ref="K18:K19" si="6">IFERROR(F18/$Q18,0)</f>
        <v>0.45281250000000001</v>
      </c>
      <c r="L18" s="183">
        <f t="shared" ref="L18:L19" si="7">IFERROR(G18/$Q18,0)</f>
        <v>0.72781249999999997</v>
      </c>
      <c r="M18" s="179" t="s">
        <v>269</v>
      </c>
      <c r="N18" s="180">
        <v>350000</v>
      </c>
      <c r="O18" s="179" t="s">
        <v>270</v>
      </c>
      <c r="P18" s="180">
        <v>290000</v>
      </c>
      <c r="Q18" s="287">
        <f t="shared" ref="Q18" si="8">AVERAGE(N18,P18)</f>
        <v>320000</v>
      </c>
      <c r="R18" s="18"/>
      <c r="S18" s="19"/>
    </row>
    <row r="19" spans="1:19" x14ac:dyDescent="0.2">
      <c r="A19" s="985" t="str">
        <f>'B) Reajuste Tarifas y Ocupación'!A15</f>
        <v>Sala Cuna Olitas de Mar</v>
      </c>
      <c r="B19" s="280" t="str">
        <f>+'B) Reajuste Tarifas y Ocupación'!B15</f>
        <v>Diurna</v>
      </c>
      <c r="C19" s="257">
        <f>+'B) Reajuste Tarifas y Ocupación'!M15</f>
        <v>327700</v>
      </c>
      <c r="D19" s="258">
        <f>+'B) Reajuste Tarifas y Ocupación'!N15</f>
        <v>393300</v>
      </c>
      <c r="E19" s="258">
        <f>+'B) Reajuste Tarifas y Ocupación'!O15</f>
        <v>393300</v>
      </c>
      <c r="F19" s="258">
        <f>+'B) Reajuste Tarifas y Ocupación'!P15</f>
        <v>409600</v>
      </c>
      <c r="G19" s="259">
        <f>+'B) Reajuste Tarifas y Ocupación'!Q15</f>
        <v>491600</v>
      </c>
      <c r="H19" s="283">
        <f t="shared" si="3"/>
        <v>0.87386666666666668</v>
      </c>
      <c r="I19" s="124">
        <f t="shared" si="4"/>
        <v>1.0488</v>
      </c>
      <c r="J19" s="124">
        <f t="shared" si="5"/>
        <v>1.0488</v>
      </c>
      <c r="K19" s="124">
        <f t="shared" si="6"/>
        <v>1.0922666666666667</v>
      </c>
      <c r="L19" s="125">
        <f t="shared" si="7"/>
        <v>1.3109333333333333</v>
      </c>
      <c r="M19" s="315" t="s">
        <v>273</v>
      </c>
      <c r="N19" s="176">
        <v>370000</v>
      </c>
      <c r="O19" s="315" t="s">
        <v>274</v>
      </c>
      <c r="P19" s="176">
        <v>380000</v>
      </c>
      <c r="Q19" s="285">
        <f>AVERAGE(N19,P19)</f>
        <v>375000</v>
      </c>
    </row>
    <row r="20" spans="1:19" x14ac:dyDescent="0.2">
      <c r="A20" s="986"/>
      <c r="B20" s="281" t="str">
        <f>+'B) Reajuste Tarifas y Ocupación'!B16</f>
        <v>Nocturna</v>
      </c>
      <c r="C20" s="410"/>
      <c r="D20" s="411"/>
      <c r="E20" s="411"/>
      <c r="F20" s="411"/>
      <c r="G20" s="412"/>
      <c r="H20" s="415"/>
      <c r="I20" s="416"/>
      <c r="J20" s="416"/>
      <c r="K20" s="416"/>
      <c r="L20" s="417"/>
      <c r="M20" s="418"/>
      <c r="N20" s="419"/>
      <c r="O20" s="418"/>
      <c r="P20" s="419"/>
      <c r="Q20" s="420"/>
    </row>
    <row r="21" spans="1:19" ht="13.5" thickBot="1" x14ac:dyDescent="0.25">
      <c r="A21" s="987"/>
      <c r="B21" s="282" t="str">
        <f>+'B) Reajuste Tarifas y Ocupación'!B17</f>
        <v>Media Jornada</v>
      </c>
      <c r="C21" s="331">
        <f>+'B) Reajuste Tarifas y Ocupación'!M17</f>
        <v>196700</v>
      </c>
      <c r="D21" s="332">
        <f>+'B) Reajuste Tarifas y Ocupación'!N17</f>
        <v>283200</v>
      </c>
      <c r="E21" s="332">
        <f>+'B) Reajuste Tarifas y Ocupación'!O17</f>
        <v>283200</v>
      </c>
      <c r="F21" s="332">
        <f>+'B) Reajuste Tarifas y Ocupación'!P17</f>
        <v>295000</v>
      </c>
      <c r="G21" s="333">
        <f>+'B) Reajuste Tarifas y Ocupación'!Q17</f>
        <v>393300</v>
      </c>
      <c r="H21" s="335">
        <f t="shared" ref="H21" si="9">IFERROR(C21/$Q21,0)</f>
        <v>0.66677966101694919</v>
      </c>
      <c r="I21" s="336">
        <f t="shared" ref="I21" si="10">IFERROR(D21/$Q21,0)</f>
        <v>0.96</v>
      </c>
      <c r="J21" s="336">
        <f t="shared" ref="J21" si="11">IFERROR(E21/$Q21,0)</f>
        <v>0.96</v>
      </c>
      <c r="K21" s="336">
        <f t="shared" ref="K21" si="12">IFERROR(F21/$Q21,0)</f>
        <v>1</v>
      </c>
      <c r="L21" s="341">
        <f t="shared" ref="L21" si="13">IFERROR(G21/$Q21,0)</f>
        <v>1.3332203389830508</v>
      </c>
      <c r="M21" s="339" t="s">
        <v>273</v>
      </c>
      <c r="N21" s="340">
        <v>310000</v>
      </c>
      <c r="O21" s="339" t="s">
        <v>274</v>
      </c>
      <c r="P21" s="340">
        <v>280000</v>
      </c>
      <c r="Q21" s="287">
        <f t="shared" ref="Q21" si="14">AVERAGE(N21,P21)</f>
        <v>295000</v>
      </c>
    </row>
  </sheetData>
  <sheetProtection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126"/>
  <sheetViews>
    <sheetView showGridLines="0" topLeftCell="D37" zoomScale="70" zoomScaleNormal="70" workbookViewId="0">
      <selection activeCell="G62" sqref="G62:P62"/>
    </sheetView>
  </sheetViews>
  <sheetFormatPr baseColWidth="10" defaultColWidth="11.42578125" defaultRowHeight="12.75" x14ac:dyDescent="0.2"/>
  <cols>
    <col min="1" max="1" width="43.42578125" style="65" customWidth="1"/>
    <col min="2" max="2" width="69" style="65" customWidth="1"/>
    <col min="3" max="3" width="49.28515625" style="65" customWidth="1"/>
    <col min="4" max="4" width="43.5703125" style="65" customWidth="1"/>
    <col min="5" max="5" width="28.140625" style="65" customWidth="1"/>
    <col min="6" max="6" width="31.5703125" style="65" customWidth="1"/>
    <col min="7" max="9" width="11.42578125" style="65"/>
    <col min="10" max="11" width="13.28515625" style="65" customWidth="1"/>
    <col min="12" max="15" width="11.42578125" style="65"/>
    <col min="16" max="16" width="21.28515625" style="65" customWidth="1"/>
    <col min="17" max="16384" width="11.42578125" style="65"/>
  </cols>
  <sheetData>
    <row r="1" spans="1:16" x14ac:dyDescent="0.2">
      <c r="J1" s="199"/>
      <c r="K1" s="201"/>
    </row>
    <row r="2" spans="1:16" x14ac:dyDescent="0.2">
      <c r="J2" s="199" t="s">
        <v>197</v>
      </c>
      <c r="K2" s="201"/>
    </row>
    <row r="4" spans="1:16" ht="19.5" customHeight="1" x14ac:dyDescent="0.2">
      <c r="I4" s="200" t="s">
        <v>0</v>
      </c>
      <c r="J4" s="962" t="str">
        <f>+'B) Reajuste Tarifas y Ocupación'!F5</f>
        <v>(DEPTO./DELEG.)</v>
      </c>
      <c r="K4" s="963"/>
    </row>
    <row r="6" spans="1:16" ht="12.75" customHeight="1" x14ac:dyDescent="0.2">
      <c r="A6" s="603" t="s">
        <v>122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6"/>
    </row>
    <row r="7" spans="1:16" x14ac:dyDescent="0.2">
      <c r="A7" s="604"/>
      <c r="B7" s="604"/>
      <c r="C7" s="604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6"/>
    </row>
    <row r="8" spans="1:16" x14ac:dyDescent="0.2">
      <c r="A8" s="604"/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6"/>
    </row>
    <row r="9" spans="1:16" x14ac:dyDescent="0.2">
      <c r="A9" s="605" t="s">
        <v>275</v>
      </c>
      <c r="B9" s="1013" t="s">
        <v>276</v>
      </c>
      <c r="C9" s="1013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</row>
    <row r="10" spans="1:16" x14ac:dyDescent="0.2">
      <c r="A10" s="607"/>
      <c r="B10" s="607"/>
      <c r="C10" s="607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</row>
    <row r="11" spans="1:16" x14ac:dyDescent="0.2">
      <c r="A11" s="608" t="s">
        <v>277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565"/>
    </row>
    <row r="12" spans="1:16" x14ac:dyDescent="0.2">
      <c r="A12" s="608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565"/>
    </row>
    <row r="13" spans="1:16" x14ac:dyDescent="0.2">
      <c r="A13" s="608"/>
      <c r="B13" s="608" t="s">
        <v>278</v>
      </c>
      <c r="C13" s="608" t="s">
        <v>279</v>
      </c>
      <c r="D13" s="608"/>
      <c r="E13" s="608" t="s">
        <v>280</v>
      </c>
      <c r="F13" s="608" t="s">
        <v>281</v>
      </c>
      <c r="G13" s="608"/>
      <c r="H13" s="608"/>
      <c r="I13" s="608"/>
      <c r="J13" s="608"/>
      <c r="K13" s="608"/>
      <c r="L13" s="608"/>
      <c r="M13" s="608"/>
      <c r="N13" s="608"/>
      <c r="O13" s="608"/>
      <c r="P13" s="565"/>
    </row>
    <row r="14" spans="1:16" x14ac:dyDescent="0.2">
      <c r="A14" s="608"/>
      <c r="B14" s="608"/>
      <c r="C14" s="608" t="s">
        <v>282</v>
      </c>
      <c r="D14" s="608"/>
      <c r="E14" s="608" t="s">
        <v>280</v>
      </c>
      <c r="F14" s="608" t="s">
        <v>283</v>
      </c>
      <c r="G14" s="608"/>
      <c r="H14" s="608"/>
      <c r="I14" s="608"/>
      <c r="J14" s="608"/>
      <c r="K14" s="608"/>
      <c r="L14" s="608"/>
      <c r="M14" s="608"/>
      <c r="N14" s="608"/>
      <c r="O14" s="608"/>
      <c r="P14" s="565"/>
    </row>
    <row r="15" spans="1:16" x14ac:dyDescent="0.2">
      <c r="A15" s="608"/>
      <c r="B15" s="608"/>
      <c r="C15" s="608" t="s">
        <v>284</v>
      </c>
      <c r="D15" s="608"/>
      <c r="E15" s="608" t="s">
        <v>280</v>
      </c>
      <c r="F15" s="608" t="s">
        <v>285</v>
      </c>
      <c r="G15" s="608"/>
      <c r="H15" s="608"/>
      <c r="I15" s="608"/>
      <c r="J15" s="608"/>
      <c r="K15" s="608"/>
      <c r="L15" s="608"/>
      <c r="M15" s="608"/>
      <c r="N15" s="608"/>
      <c r="O15" s="608"/>
      <c r="P15" s="565"/>
    </row>
    <row r="16" spans="1:16" x14ac:dyDescent="0.2">
      <c r="A16" s="608"/>
      <c r="B16" s="608"/>
      <c r="C16" s="608"/>
      <c r="D16" s="608"/>
      <c r="E16" s="608"/>
      <c r="F16" s="608" t="s">
        <v>286</v>
      </c>
      <c r="G16" s="608"/>
      <c r="H16" s="608"/>
      <c r="I16" s="608"/>
      <c r="J16" s="608"/>
      <c r="K16" s="608"/>
      <c r="L16" s="608"/>
      <c r="M16" s="608"/>
      <c r="N16" s="608"/>
      <c r="O16" s="608"/>
      <c r="P16" s="565"/>
    </row>
    <row r="17" spans="1:16" x14ac:dyDescent="0.2">
      <c r="A17" s="608"/>
      <c r="B17" s="608"/>
      <c r="C17" s="608"/>
      <c r="D17" s="608"/>
      <c r="E17" s="608"/>
      <c r="F17" s="608" t="s">
        <v>287</v>
      </c>
      <c r="G17" s="608"/>
      <c r="H17" s="608"/>
      <c r="I17" s="608"/>
      <c r="J17" s="608"/>
      <c r="K17" s="608"/>
      <c r="L17" s="608"/>
      <c r="M17" s="608"/>
      <c r="N17" s="608"/>
      <c r="O17" s="608"/>
      <c r="P17" s="565"/>
    </row>
    <row r="18" spans="1:16" x14ac:dyDescent="0.2">
      <c r="A18" s="608"/>
      <c r="B18" s="608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565"/>
    </row>
    <row r="19" spans="1:16" x14ac:dyDescent="0.2">
      <c r="A19" s="608"/>
      <c r="B19" s="608" t="s">
        <v>288</v>
      </c>
      <c r="C19" s="608" t="s">
        <v>289</v>
      </c>
      <c r="D19" s="608"/>
      <c r="E19" s="608"/>
      <c r="F19" s="608" t="s">
        <v>290</v>
      </c>
      <c r="G19" s="608"/>
      <c r="H19" s="608"/>
      <c r="I19" s="608"/>
      <c r="J19" s="608"/>
      <c r="K19" s="608"/>
      <c r="L19" s="608"/>
      <c r="M19" s="608"/>
      <c r="N19" s="608"/>
      <c r="O19" s="608"/>
      <c r="P19" s="565"/>
    </row>
    <row r="20" spans="1:16" x14ac:dyDescent="0.2">
      <c r="A20" s="608"/>
      <c r="B20" s="608"/>
      <c r="C20" s="608"/>
      <c r="D20" s="608"/>
      <c r="E20" s="608"/>
      <c r="F20" s="608" t="s">
        <v>291</v>
      </c>
      <c r="G20" s="608"/>
      <c r="H20" s="608"/>
      <c r="I20" s="608"/>
      <c r="J20" s="608"/>
      <c r="K20" s="608"/>
      <c r="L20" s="608"/>
      <c r="M20" s="608"/>
      <c r="N20" s="608"/>
      <c r="O20" s="608"/>
      <c r="P20" s="565"/>
    </row>
    <row r="21" spans="1:16" x14ac:dyDescent="0.2">
      <c r="A21" s="608"/>
      <c r="B21" s="608"/>
      <c r="C21" s="608"/>
      <c r="D21" s="608"/>
      <c r="E21" s="608"/>
      <c r="F21" s="608" t="s">
        <v>292</v>
      </c>
      <c r="G21" s="608"/>
      <c r="H21" s="608"/>
      <c r="I21" s="608"/>
      <c r="J21" s="608"/>
      <c r="K21" s="608"/>
      <c r="L21" s="608"/>
      <c r="M21" s="608"/>
      <c r="N21" s="608"/>
      <c r="O21" s="608"/>
      <c r="P21" s="565"/>
    </row>
    <row r="22" spans="1:16" x14ac:dyDescent="0.2">
      <c r="A22" s="609" t="s">
        <v>293</v>
      </c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565"/>
    </row>
    <row r="23" spans="1:16" x14ac:dyDescent="0.2">
      <c r="A23" s="60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565"/>
    </row>
    <row r="24" spans="1:16" x14ac:dyDescent="0.2">
      <c r="A24" s="608"/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565"/>
    </row>
    <row r="25" spans="1:16" x14ac:dyDescent="0.2">
      <c r="A25" s="606"/>
      <c r="B25" s="606"/>
      <c r="C25" s="606"/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6"/>
      <c r="O25" s="606"/>
    </row>
    <row r="26" spans="1:16" x14ac:dyDescent="0.2">
      <c r="A26" s="606"/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</row>
    <row r="27" spans="1:16" x14ac:dyDescent="0.2">
      <c r="A27" s="606" t="s">
        <v>294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</row>
    <row r="28" spans="1:16" x14ac:dyDescent="0.2">
      <c r="A28" s="606"/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</row>
    <row r="29" spans="1:16" x14ac:dyDescent="0.2">
      <c r="A29" s="610"/>
      <c r="B29" s="611"/>
      <c r="C29" s="612" t="s">
        <v>295</v>
      </c>
      <c r="D29" s="613" t="s">
        <v>296</v>
      </c>
      <c r="E29" s="612" t="s">
        <v>297</v>
      </c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566"/>
    </row>
    <row r="30" spans="1:16" x14ac:dyDescent="0.2">
      <c r="A30" s="614"/>
      <c r="B30" s="615" t="s">
        <v>298</v>
      </c>
      <c r="C30" s="616" t="s">
        <v>299</v>
      </c>
      <c r="D30" s="617">
        <v>19000000</v>
      </c>
      <c r="E30" s="618">
        <f>D30*2</f>
        <v>38000000</v>
      </c>
      <c r="F30" s="642" t="s">
        <v>399</v>
      </c>
      <c r="G30" s="614"/>
      <c r="H30" s="614"/>
      <c r="I30" s="614"/>
      <c r="J30" s="614"/>
      <c r="K30" s="614"/>
      <c r="L30" s="614"/>
      <c r="M30" s="614"/>
      <c r="N30" s="614"/>
      <c r="O30" s="614"/>
      <c r="P30" s="567"/>
    </row>
    <row r="31" spans="1:16" x14ac:dyDescent="0.2">
      <c r="A31" s="614"/>
      <c r="B31" s="615" t="s">
        <v>300</v>
      </c>
      <c r="C31" s="616" t="s">
        <v>301</v>
      </c>
      <c r="D31" s="617">
        <v>12000000</v>
      </c>
      <c r="E31" s="618">
        <f>D31*2</f>
        <v>24000000</v>
      </c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567"/>
    </row>
    <row r="32" spans="1:16" x14ac:dyDescent="0.2">
      <c r="A32" s="614"/>
      <c r="B32" s="615" t="s">
        <v>302</v>
      </c>
      <c r="C32" s="616" t="s">
        <v>303</v>
      </c>
      <c r="D32" s="617">
        <v>6000000</v>
      </c>
      <c r="E32" s="618">
        <f>+D32</f>
        <v>6000000</v>
      </c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567"/>
    </row>
    <row r="33" spans="1:16" x14ac:dyDescent="0.2">
      <c r="A33" s="614"/>
      <c r="B33" s="615" t="s">
        <v>304</v>
      </c>
      <c r="C33" s="616" t="s">
        <v>303</v>
      </c>
      <c r="D33" s="617">
        <v>6000000</v>
      </c>
      <c r="E33" s="618">
        <f>+D33</f>
        <v>6000000</v>
      </c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567"/>
    </row>
    <row r="34" spans="1:16" x14ac:dyDescent="0.2">
      <c r="A34" s="606"/>
      <c r="B34" s="606"/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</row>
    <row r="35" spans="1:16" x14ac:dyDescent="0.2">
      <c r="A35" s="606"/>
      <c r="B35" s="1014" t="s">
        <v>305</v>
      </c>
      <c r="C35" s="1014"/>
      <c r="D35" s="1015"/>
      <c r="E35" s="619">
        <f>SUM(E30:E34)</f>
        <v>74000000</v>
      </c>
      <c r="F35" s="606"/>
      <c r="G35" s="606"/>
      <c r="H35" s="606"/>
      <c r="I35" s="606"/>
      <c r="J35" s="606"/>
      <c r="K35" s="606"/>
      <c r="L35" s="606"/>
      <c r="M35" s="606"/>
      <c r="N35" s="606"/>
      <c r="O35" s="606"/>
    </row>
    <row r="36" spans="1:16" x14ac:dyDescent="0.2">
      <c r="A36" s="606"/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</row>
    <row r="37" spans="1:16" x14ac:dyDescent="0.2">
      <c r="A37" s="602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</row>
    <row r="39" spans="1:16" ht="18" x14ac:dyDescent="0.25">
      <c r="A39" s="568" t="s">
        <v>306</v>
      </c>
      <c r="B39" s="569"/>
      <c r="C39" s="569"/>
      <c r="D39" s="569"/>
      <c r="E39" s="569"/>
    </row>
    <row r="40" spans="1:16" x14ac:dyDescent="0.2">
      <c r="A40" s="1016" t="s">
        <v>76</v>
      </c>
      <c r="B40" s="1018" t="s">
        <v>77</v>
      </c>
      <c r="C40" s="1019" t="s">
        <v>78</v>
      </c>
      <c r="D40" s="1019"/>
      <c r="E40" s="1019"/>
      <c r="F40" s="1020" t="s">
        <v>236</v>
      </c>
      <c r="G40" s="570"/>
    </row>
    <row r="41" spans="1:16" x14ac:dyDescent="0.2">
      <c r="A41" s="1017"/>
      <c r="B41" s="1018"/>
      <c r="C41" s="571" t="s">
        <v>67</v>
      </c>
      <c r="D41" s="572" t="s">
        <v>68</v>
      </c>
      <c r="E41" s="573" t="s">
        <v>6</v>
      </c>
      <c r="F41" s="888"/>
      <c r="G41" s="570"/>
    </row>
    <row r="42" spans="1:16" ht="25.5" x14ac:dyDescent="0.2">
      <c r="A42" s="620" t="s">
        <v>95</v>
      </c>
      <c r="B42" s="621">
        <v>16664466</v>
      </c>
      <c r="C42" s="622">
        <v>0</v>
      </c>
      <c r="D42" s="623">
        <v>0</v>
      </c>
      <c r="E42" s="621">
        <f>C42*D42</f>
        <v>0</v>
      </c>
      <c r="F42" s="621">
        <f>+B42</f>
        <v>16664466</v>
      </c>
      <c r="G42" s="1021" t="s">
        <v>307</v>
      </c>
      <c r="H42" s="1022"/>
      <c r="I42" s="1022"/>
      <c r="J42" s="1022"/>
      <c r="K42" s="1022"/>
      <c r="L42" s="1022"/>
      <c r="M42" s="1022"/>
      <c r="N42" s="1022"/>
      <c r="O42" s="1022"/>
      <c r="P42" s="1023"/>
    </row>
    <row r="43" spans="1:16" x14ac:dyDescent="0.2">
      <c r="A43" s="624" t="s">
        <v>308</v>
      </c>
      <c r="B43" s="625">
        <v>0</v>
      </c>
      <c r="C43" s="625">
        <v>0</v>
      </c>
      <c r="D43" s="626">
        <v>0</v>
      </c>
      <c r="E43" s="627">
        <v>0</v>
      </c>
      <c r="F43" s="628">
        <f>+B43</f>
        <v>0</v>
      </c>
      <c r="G43" s="1024"/>
      <c r="H43" s="1025"/>
      <c r="I43" s="1025"/>
      <c r="J43" s="1025"/>
      <c r="K43" s="1025"/>
      <c r="L43" s="1025"/>
      <c r="M43" s="1025"/>
      <c r="N43" s="1025"/>
      <c r="O43" s="1025"/>
      <c r="P43" s="1026"/>
    </row>
    <row r="44" spans="1:16" x14ac:dyDescent="0.2">
      <c r="A44" s="629" t="s">
        <v>169</v>
      </c>
      <c r="B44" s="630">
        <v>149939</v>
      </c>
      <c r="C44" s="630">
        <v>0</v>
      </c>
      <c r="D44" s="631">
        <v>0</v>
      </c>
      <c r="E44" s="621">
        <v>0</v>
      </c>
      <c r="F44" s="632">
        <f>+B44</f>
        <v>149939</v>
      </c>
      <c r="G44" s="1027" t="s">
        <v>309</v>
      </c>
      <c r="H44" s="1028"/>
      <c r="I44" s="1028"/>
      <c r="J44" s="1028"/>
      <c r="K44" s="1028"/>
      <c r="L44" s="1028"/>
      <c r="M44" s="1028"/>
      <c r="N44" s="1028"/>
      <c r="O44" s="1028"/>
      <c r="P44" s="1029"/>
    </row>
    <row r="45" spans="1:16" ht="25.5" x14ac:dyDescent="0.2">
      <c r="A45" s="633" t="s">
        <v>170</v>
      </c>
      <c r="B45" s="625">
        <v>0</v>
      </c>
      <c r="C45" s="634">
        <v>0</v>
      </c>
      <c r="D45" s="635">
        <v>0</v>
      </c>
      <c r="E45" s="636">
        <v>0</v>
      </c>
      <c r="F45" s="637">
        <v>0</v>
      </c>
      <c r="G45" s="1030"/>
      <c r="H45" s="1031"/>
      <c r="I45" s="1031"/>
      <c r="J45" s="1031"/>
      <c r="K45" s="1031"/>
      <c r="L45" s="1031"/>
      <c r="M45" s="1031"/>
      <c r="N45" s="1031"/>
      <c r="O45" s="1031"/>
      <c r="P45" s="1032"/>
    </row>
    <row r="46" spans="1:16" x14ac:dyDescent="0.2">
      <c r="A46" s="577" t="s">
        <v>171</v>
      </c>
      <c r="B46" s="343">
        <v>0</v>
      </c>
      <c r="C46" s="344">
        <v>1945</v>
      </c>
      <c r="D46" s="345">
        <v>1540</v>
      </c>
      <c r="E46" s="560">
        <f t="shared" ref="E46:E61" si="0">C46*D46</f>
        <v>2995300</v>
      </c>
      <c r="F46" s="576">
        <f t="shared" ref="F46:F80" si="1">B46+E46</f>
        <v>2995300</v>
      </c>
      <c r="G46" s="1033" t="s">
        <v>435</v>
      </c>
      <c r="H46" s="1034"/>
      <c r="I46" s="1034"/>
      <c r="J46" s="1034"/>
      <c r="K46" s="1034"/>
      <c r="L46" s="1034"/>
      <c r="M46" s="1034"/>
      <c r="N46" s="1034"/>
      <c r="O46" s="1034"/>
      <c r="P46" s="1035"/>
    </row>
    <row r="47" spans="1:16" x14ac:dyDescent="0.2">
      <c r="A47" s="577" t="s">
        <v>172</v>
      </c>
      <c r="B47" s="343">
        <v>0</v>
      </c>
      <c r="C47" s="344">
        <v>1058</v>
      </c>
      <c r="D47" s="345">
        <v>12320</v>
      </c>
      <c r="E47" s="560">
        <f t="shared" si="0"/>
        <v>13034560</v>
      </c>
      <c r="F47" s="576">
        <f t="shared" si="1"/>
        <v>13034560</v>
      </c>
      <c r="G47" s="1036" t="s">
        <v>337</v>
      </c>
      <c r="H47" s="1037"/>
      <c r="I47" s="1037"/>
      <c r="J47" s="1037"/>
      <c r="K47" s="1037"/>
      <c r="L47" s="1037"/>
      <c r="M47" s="1037"/>
      <c r="N47" s="1037"/>
      <c r="O47" s="1037"/>
      <c r="P47" s="1038"/>
    </row>
    <row r="48" spans="1:16" ht="25.5" x14ac:dyDescent="0.2">
      <c r="A48" s="577" t="s">
        <v>173</v>
      </c>
      <c r="B48" s="343">
        <v>0</v>
      </c>
      <c r="C48" s="344">
        <v>1945</v>
      </c>
      <c r="D48" s="345">
        <v>80</v>
      </c>
      <c r="E48" s="560">
        <f t="shared" si="0"/>
        <v>155600</v>
      </c>
      <c r="F48" s="576">
        <f t="shared" si="1"/>
        <v>155600</v>
      </c>
      <c r="G48" s="1036" t="s">
        <v>336</v>
      </c>
      <c r="H48" s="1037"/>
      <c r="I48" s="1037"/>
      <c r="J48" s="1037"/>
      <c r="K48" s="1037"/>
      <c r="L48" s="1037"/>
      <c r="M48" s="1037"/>
      <c r="N48" s="1037"/>
      <c r="O48" s="1037"/>
      <c r="P48" s="1038"/>
    </row>
    <row r="49" spans="1:16" x14ac:dyDescent="0.2">
      <c r="A49" s="577" t="s">
        <v>310</v>
      </c>
      <c r="B49" s="343">
        <v>2643930</v>
      </c>
      <c r="C49" s="344"/>
      <c r="D49" s="345"/>
      <c r="E49" s="560"/>
      <c r="F49" s="576"/>
      <c r="G49" s="578" t="s">
        <v>338</v>
      </c>
      <c r="H49" s="579"/>
      <c r="I49" s="579"/>
      <c r="J49" s="579"/>
      <c r="K49" s="579"/>
      <c r="L49" s="579"/>
      <c r="M49" s="579"/>
      <c r="N49" s="579"/>
      <c r="O49" s="579"/>
      <c r="P49" s="580"/>
    </row>
    <row r="50" spans="1:16" s="565" customFormat="1" x14ac:dyDescent="0.2">
      <c r="A50" s="648" t="s">
        <v>41</v>
      </c>
      <c r="B50" s="646">
        <v>565600</v>
      </c>
      <c r="C50" s="646"/>
      <c r="D50" s="647"/>
      <c r="E50" s="649"/>
      <c r="F50" s="650"/>
      <c r="G50" s="651" t="s">
        <v>400</v>
      </c>
      <c r="H50" s="652"/>
      <c r="I50" s="652"/>
      <c r="J50" s="652"/>
      <c r="K50" s="652"/>
      <c r="L50" s="652"/>
      <c r="M50" s="652"/>
      <c r="N50" s="652"/>
      <c r="O50" s="652"/>
      <c r="P50" s="653"/>
    </row>
    <row r="51" spans="1:16" ht="25.5" x14ac:dyDescent="0.2">
      <c r="A51" s="317" t="s">
        <v>183</v>
      </c>
      <c r="B51" s="343">
        <v>144391</v>
      </c>
      <c r="C51" s="344"/>
      <c r="D51" s="345"/>
      <c r="E51" s="560"/>
      <c r="F51" s="576"/>
      <c r="G51" s="581" t="s">
        <v>339</v>
      </c>
      <c r="H51" s="582"/>
      <c r="I51" s="582"/>
      <c r="J51" s="582"/>
      <c r="K51" s="582"/>
      <c r="L51" s="582"/>
      <c r="M51" s="582"/>
      <c r="N51" s="582"/>
      <c r="O51" s="582"/>
      <c r="P51" s="583"/>
    </row>
    <row r="52" spans="1:16" x14ac:dyDescent="0.2">
      <c r="A52" s="577" t="s">
        <v>312</v>
      </c>
      <c r="B52" s="343">
        <v>364680</v>
      </c>
      <c r="C52" s="344"/>
      <c r="D52" s="345"/>
      <c r="E52" s="560"/>
      <c r="F52" s="576"/>
      <c r="G52" s="581" t="s">
        <v>351</v>
      </c>
      <c r="H52" s="582"/>
      <c r="I52" s="582"/>
      <c r="J52" s="582"/>
      <c r="K52" s="582"/>
      <c r="L52" s="582"/>
      <c r="M52" s="582"/>
      <c r="N52" s="582"/>
      <c r="O52" s="582"/>
      <c r="P52" s="583"/>
    </row>
    <row r="53" spans="1:16" ht="38.25" x14ac:dyDescent="0.2">
      <c r="A53" s="577" t="s">
        <v>174</v>
      </c>
      <c r="B53" s="343">
        <v>178288</v>
      </c>
      <c r="C53" s="344"/>
      <c r="D53" s="345"/>
      <c r="E53" s="560">
        <f t="shared" si="0"/>
        <v>0</v>
      </c>
      <c r="F53" s="576">
        <f t="shared" si="1"/>
        <v>178288</v>
      </c>
      <c r="G53" s="1039" t="s">
        <v>340</v>
      </c>
      <c r="H53" s="1040"/>
      <c r="I53" s="1040"/>
      <c r="J53" s="1040"/>
      <c r="K53" s="1040"/>
      <c r="L53" s="1040"/>
      <c r="M53" s="1040"/>
      <c r="N53" s="1040"/>
      <c r="O53" s="1040"/>
      <c r="P53" s="1041"/>
    </row>
    <row r="54" spans="1:16" x14ac:dyDescent="0.2">
      <c r="A54" s="577" t="s">
        <v>19</v>
      </c>
      <c r="B54" s="343">
        <v>84606</v>
      </c>
      <c r="C54" s="344">
        <v>0</v>
      </c>
      <c r="D54" s="345">
        <v>0</v>
      </c>
      <c r="E54" s="560">
        <f t="shared" si="0"/>
        <v>0</v>
      </c>
      <c r="F54" s="576">
        <f t="shared" si="1"/>
        <v>84606</v>
      </c>
      <c r="G54" s="1042" t="s">
        <v>313</v>
      </c>
      <c r="H54" s="1043"/>
      <c r="I54" s="1043"/>
      <c r="J54" s="1043"/>
      <c r="K54" s="1043"/>
      <c r="L54" s="1043"/>
      <c r="M54" s="1043"/>
      <c r="N54" s="1043"/>
      <c r="O54" s="1043"/>
      <c r="P54" s="1044"/>
    </row>
    <row r="55" spans="1:16" x14ac:dyDescent="0.2">
      <c r="A55" s="577" t="s">
        <v>314</v>
      </c>
      <c r="B55" s="343"/>
      <c r="C55" s="344"/>
      <c r="D55" s="345"/>
      <c r="E55" s="560"/>
      <c r="F55" s="576"/>
      <c r="G55" s="581"/>
      <c r="H55" s="582"/>
      <c r="I55" s="582"/>
      <c r="J55" s="582"/>
      <c r="K55" s="582"/>
      <c r="L55" s="582"/>
      <c r="M55" s="582"/>
      <c r="N55" s="582"/>
      <c r="O55" s="582"/>
      <c r="P55" s="583"/>
    </row>
    <row r="56" spans="1:16" x14ac:dyDescent="0.2">
      <c r="A56" s="577" t="s">
        <v>315</v>
      </c>
      <c r="B56" s="343">
        <v>263868</v>
      </c>
      <c r="C56" s="344"/>
      <c r="D56" s="345"/>
      <c r="E56" s="560"/>
      <c r="F56" s="576">
        <f>+B56</f>
        <v>263868</v>
      </c>
      <c r="G56" s="581" t="s">
        <v>316</v>
      </c>
      <c r="H56" s="582"/>
      <c r="I56" s="582"/>
      <c r="J56" s="582"/>
      <c r="K56" s="582"/>
      <c r="L56" s="582"/>
      <c r="M56" s="582"/>
      <c r="N56" s="582"/>
      <c r="O56" s="582"/>
      <c r="P56" s="583"/>
    </row>
    <row r="57" spans="1:16" x14ac:dyDescent="0.2">
      <c r="A57" s="575" t="s">
        <v>24</v>
      </c>
      <c r="B57" s="343">
        <v>1089182</v>
      </c>
      <c r="C57" s="344">
        <v>0</v>
      </c>
      <c r="D57" s="345">
        <v>0</v>
      </c>
      <c r="E57" s="560">
        <f t="shared" si="0"/>
        <v>0</v>
      </c>
      <c r="F57" s="576">
        <f t="shared" si="1"/>
        <v>1089182</v>
      </c>
      <c r="G57" s="1036" t="s">
        <v>341</v>
      </c>
      <c r="H57" s="1037"/>
      <c r="I57" s="1037"/>
      <c r="J57" s="1037"/>
      <c r="K57" s="1037"/>
      <c r="L57" s="1037"/>
      <c r="M57" s="1037"/>
      <c r="N57" s="1037"/>
      <c r="O57" s="1037"/>
      <c r="P57" s="1038"/>
    </row>
    <row r="58" spans="1:16" x14ac:dyDescent="0.2">
      <c r="A58" s="575" t="s">
        <v>25</v>
      </c>
      <c r="B58" s="343">
        <v>1190622</v>
      </c>
      <c r="C58" s="344">
        <v>0</v>
      </c>
      <c r="D58" s="345">
        <v>0</v>
      </c>
      <c r="E58" s="560">
        <f t="shared" si="0"/>
        <v>0</v>
      </c>
      <c r="F58" s="576">
        <f t="shared" si="1"/>
        <v>1190622</v>
      </c>
      <c r="G58" s="1036" t="s">
        <v>341</v>
      </c>
      <c r="H58" s="1037"/>
      <c r="I58" s="1037"/>
      <c r="J58" s="1037"/>
      <c r="K58" s="1037"/>
      <c r="L58" s="1037"/>
      <c r="M58" s="1037"/>
      <c r="N58" s="1037"/>
      <c r="O58" s="1037"/>
      <c r="P58" s="1038"/>
    </row>
    <row r="59" spans="1:16" x14ac:dyDescent="0.2">
      <c r="A59" s="575" t="s">
        <v>26</v>
      </c>
      <c r="B59" s="343">
        <v>1425613</v>
      </c>
      <c r="C59" s="344">
        <v>0</v>
      </c>
      <c r="D59" s="345">
        <v>0</v>
      </c>
      <c r="E59" s="560">
        <f t="shared" si="0"/>
        <v>0</v>
      </c>
      <c r="F59" s="576">
        <f t="shared" si="1"/>
        <v>1425613</v>
      </c>
      <c r="G59" s="1036" t="s">
        <v>342</v>
      </c>
      <c r="H59" s="1037"/>
      <c r="I59" s="1037"/>
      <c r="J59" s="1037"/>
      <c r="K59" s="1037"/>
      <c r="L59" s="1037"/>
      <c r="M59" s="1037"/>
      <c r="N59" s="1037"/>
      <c r="O59" s="1037"/>
      <c r="P59" s="1038"/>
    </row>
    <row r="60" spans="1:16" ht="25.5" x14ac:dyDescent="0.2">
      <c r="A60" s="575" t="s">
        <v>179</v>
      </c>
      <c r="B60" s="343">
        <v>1269086</v>
      </c>
      <c r="C60" s="344"/>
      <c r="D60" s="345"/>
      <c r="E60" s="560">
        <f t="shared" si="0"/>
        <v>0</v>
      </c>
      <c r="F60" s="576">
        <f t="shared" si="1"/>
        <v>1269086</v>
      </c>
      <c r="G60" s="1036"/>
      <c r="H60" s="1037"/>
      <c r="I60" s="1037"/>
      <c r="J60" s="1037"/>
      <c r="K60" s="1037"/>
      <c r="L60" s="1037"/>
      <c r="M60" s="1037"/>
      <c r="N60" s="1037"/>
      <c r="O60" s="1037"/>
      <c r="P60" s="1038"/>
    </row>
    <row r="61" spans="1:16" ht="25.5" x14ac:dyDescent="0.2">
      <c r="A61" s="575" t="s">
        <v>180</v>
      </c>
      <c r="B61" s="343"/>
      <c r="C61" s="344">
        <v>0</v>
      </c>
      <c r="D61" s="345">
        <v>0</v>
      </c>
      <c r="E61" s="560">
        <f t="shared" si="0"/>
        <v>0</v>
      </c>
      <c r="F61" s="576"/>
      <c r="G61" s="1036"/>
      <c r="H61" s="1037"/>
      <c r="I61" s="1037"/>
      <c r="J61" s="1037"/>
      <c r="K61" s="1037"/>
      <c r="L61" s="1037"/>
      <c r="M61" s="1037"/>
      <c r="N61" s="1037"/>
      <c r="O61" s="1037"/>
      <c r="P61" s="1038"/>
    </row>
    <row r="62" spans="1:16" x14ac:dyDescent="0.2">
      <c r="A62" s="575" t="s">
        <v>181</v>
      </c>
      <c r="B62" s="343"/>
      <c r="C62" s="344">
        <v>25325</v>
      </c>
      <c r="D62" s="647">
        <v>10</v>
      </c>
      <c r="E62" s="560">
        <v>227925</v>
      </c>
      <c r="F62" s="576">
        <f>B62+E62</f>
        <v>227925</v>
      </c>
      <c r="G62" s="1036" t="s">
        <v>343</v>
      </c>
      <c r="H62" s="1037"/>
      <c r="I62" s="1037"/>
      <c r="J62" s="1037"/>
      <c r="K62" s="1037"/>
      <c r="L62" s="1037"/>
      <c r="M62" s="1037"/>
      <c r="N62" s="1037"/>
      <c r="O62" s="1037"/>
      <c r="P62" s="1038"/>
    </row>
    <row r="63" spans="1:16" x14ac:dyDescent="0.2">
      <c r="A63" s="575" t="s">
        <v>182</v>
      </c>
      <c r="B63" s="343"/>
      <c r="C63" s="344">
        <v>30990</v>
      </c>
      <c r="D63" s="345">
        <v>2</v>
      </c>
      <c r="E63" s="560">
        <v>60780</v>
      </c>
      <c r="F63" s="576">
        <f t="shared" si="1"/>
        <v>60780</v>
      </c>
      <c r="G63" s="1039" t="s">
        <v>317</v>
      </c>
      <c r="H63" s="1040"/>
      <c r="I63" s="1040"/>
      <c r="J63" s="1040"/>
      <c r="K63" s="1040"/>
      <c r="L63" s="1040"/>
      <c r="M63" s="1040"/>
      <c r="N63" s="1040"/>
      <c r="O63" s="1040"/>
      <c r="P63" s="1041"/>
    </row>
    <row r="64" spans="1:16" ht="25.5" x14ac:dyDescent="0.2">
      <c r="A64" s="574" t="s">
        <v>318</v>
      </c>
      <c r="B64" s="343"/>
      <c r="C64" s="344">
        <v>0</v>
      </c>
      <c r="D64" s="345">
        <v>0</v>
      </c>
      <c r="E64" s="560">
        <f t="shared" ref="E64:E80" si="2">C64*D64</f>
        <v>0</v>
      </c>
      <c r="F64" s="584"/>
      <c r="G64" s="1036"/>
      <c r="H64" s="1037"/>
      <c r="I64" s="1037"/>
      <c r="J64" s="1037"/>
      <c r="K64" s="1037"/>
      <c r="L64" s="1037"/>
      <c r="M64" s="1037"/>
      <c r="N64" s="1037"/>
      <c r="O64" s="1037"/>
      <c r="P64" s="1038"/>
    </row>
    <row r="65" spans="1:16" x14ac:dyDescent="0.2">
      <c r="A65" s="585" t="s">
        <v>51</v>
      </c>
      <c r="B65" s="343">
        <v>211496</v>
      </c>
      <c r="C65" s="343">
        <v>0</v>
      </c>
      <c r="D65" s="345">
        <v>0</v>
      </c>
      <c r="E65" s="560">
        <f t="shared" si="2"/>
        <v>0</v>
      </c>
      <c r="F65" s="586">
        <f t="shared" si="1"/>
        <v>211496</v>
      </c>
      <c r="G65" s="1036" t="s">
        <v>319</v>
      </c>
      <c r="H65" s="1037"/>
      <c r="I65" s="1037"/>
      <c r="J65" s="1037"/>
      <c r="K65" s="1037"/>
      <c r="L65" s="1037"/>
      <c r="M65" s="1037"/>
      <c r="N65" s="1037"/>
      <c r="O65" s="1037"/>
      <c r="P65" s="1038"/>
    </row>
    <row r="66" spans="1:16" x14ac:dyDescent="0.2">
      <c r="A66" s="585" t="s">
        <v>320</v>
      </c>
      <c r="B66" s="343">
        <v>2564160</v>
      </c>
      <c r="C66" s="343"/>
      <c r="D66" s="345"/>
      <c r="E66" s="560"/>
      <c r="F66" s="586"/>
      <c r="G66" s="587"/>
      <c r="H66" s="587" t="s">
        <v>321</v>
      </c>
      <c r="I66" s="587"/>
      <c r="J66" s="587"/>
      <c r="K66" s="587"/>
      <c r="L66" s="587"/>
      <c r="M66" s="587"/>
      <c r="N66" s="587"/>
      <c r="O66" s="587"/>
      <c r="P66" s="588"/>
    </row>
    <row r="67" spans="1:16" x14ac:dyDescent="0.2">
      <c r="A67" s="575" t="s">
        <v>47</v>
      </c>
      <c r="B67" s="343">
        <v>846058</v>
      </c>
      <c r="C67" s="343">
        <v>0</v>
      </c>
      <c r="D67" s="345">
        <v>0</v>
      </c>
      <c r="E67" s="560">
        <f t="shared" si="2"/>
        <v>0</v>
      </c>
      <c r="F67" s="586">
        <f t="shared" si="1"/>
        <v>846058</v>
      </c>
      <c r="G67" s="1045" t="s">
        <v>322</v>
      </c>
      <c r="H67" s="1037"/>
      <c r="I67" s="1037"/>
      <c r="J67" s="1037"/>
      <c r="K67" s="1037"/>
      <c r="L67" s="1037"/>
      <c r="M67" s="1037"/>
      <c r="N67" s="1037"/>
      <c r="O67" s="1037"/>
      <c r="P67" s="1038"/>
    </row>
    <row r="68" spans="1:16" x14ac:dyDescent="0.2">
      <c r="A68" s="589" t="s">
        <v>52</v>
      </c>
      <c r="B68" s="343">
        <v>486240</v>
      </c>
      <c r="C68" s="343">
        <v>0</v>
      </c>
      <c r="D68" s="345">
        <v>0</v>
      </c>
      <c r="E68" s="560">
        <f t="shared" si="2"/>
        <v>0</v>
      </c>
      <c r="F68" s="590"/>
      <c r="G68" s="1036" t="s">
        <v>350</v>
      </c>
      <c r="H68" s="1037"/>
      <c r="I68" s="1037"/>
      <c r="J68" s="1037"/>
      <c r="K68" s="1037"/>
      <c r="L68" s="1037"/>
      <c r="M68" s="1037"/>
      <c r="N68" s="1037"/>
      <c r="O68" s="1037"/>
      <c r="P68" s="1038"/>
    </row>
    <row r="69" spans="1:16" ht="25.5" x14ac:dyDescent="0.2">
      <c r="A69" s="575" t="s">
        <v>184</v>
      </c>
      <c r="B69" s="343">
        <v>109987</v>
      </c>
      <c r="C69" s="343">
        <v>0</v>
      </c>
      <c r="D69" s="345">
        <v>0</v>
      </c>
      <c r="E69" s="560">
        <f t="shared" si="2"/>
        <v>0</v>
      </c>
      <c r="F69" s="586">
        <f t="shared" si="1"/>
        <v>109987</v>
      </c>
      <c r="G69" s="1036" t="s">
        <v>323</v>
      </c>
      <c r="H69" s="1037"/>
      <c r="I69" s="1037"/>
      <c r="J69" s="1037"/>
      <c r="K69" s="1037"/>
      <c r="L69" s="1037"/>
      <c r="M69" s="1037"/>
      <c r="N69" s="1037"/>
      <c r="O69" s="1037"/>
      <c r="P69" s="1038"/>
    </row>
    <row r="70" spans="1:16" x14ac:dyDescent="0.2">
      <c r="A70" s="591" t="s">
        <v>57</v>
      </c>
      <c r="B70" s="343">
        <v>0</v>
      </c>
      <c r="C70" s="343"/>
      <c r="D70" s="345"/>
      <c r="E70" s="560"/>
      <c r="F70" s="586"/>
      <c r="G70" s="1046"/>
      <c r="H70" s="1047"/>
      <c r="I70" s="1047"/>
      <c r="J70" s="1047"/>
      <c r="K70" s="1047"/>
      <c r="L70" s="1047"/>
      <c r="M70" s="1047"/>
      <c r="N70" s="1047"/>
      <c r="O70" s="1047"/>
      <c r="P70" s="1048"/>
    </row>
    <row r="71" spans="1:16" ht="18.75" customHeight="1" x14ac:dyDescent="0.2">
      <c r="A71" s="592" t="s">
        <v>187</v>
      </c>
      <c r="B71" s="343">
        <v>0</v>
      </c>
      <c r="C71" s="343">
        <v>7560</v>
      </c>
      <c r="D71" s="345">
        <v>60</v>
      </c>
      <c r="E71" s="560">
        <f t="shared" si="2"/>
        <v>453600</v>
      </c>
      <c r="F71" s="590">
        <f t="shared" si="1"/>
        <v>453600</v>
      </c>
      <c r="G71" s="1036" t="s">
        <v>345</v>
      </c>
      <c r="H71" s="1037"/>
      <c r="I71" s="1037"/>
      <c r="J71" s="1037"/>
      <c r="K71" s="1037"/>
      <c r="L71" s="1037"/>
      <c r="M71" s="1037"/>
      <c r="N71" s="1037"/>
      <c r="O71" s="1037"/>
      <c r="P71" s="1038"/>
    </row>
    <row r="72" spans="1:16" ht="66.75" customHeight="1" x14ac:dyDescent="0.2">
      <c r="A72" s="577" t="s">
        <v>188</v>
      </c>
      <c r="B72" s="343"/>
      <c r="C72" s="343">
        <v>0</v>
      </c>
      <c r="D72" s="345">
        <v>0</v>
      </c>
      <c r="E72" s="560">
        <f t="shared" si="2"/>
        <v>0</v>
      </c>
      <c r="F72" s="586">
        <f t="shared" si="1"/>
        <v>0</v>
      </c>
      <c r="G72" s="1036"/>
      <c r="H72" s="1037"/>
      <c r="I72" s="1037"/>
      <c r="J72" s="1037"/>
      <c r="K72" s="1037"/>
      <c r="L72" s="1037"/>
      <c r="M72" s="1037"/>
      <c r="N72" s="1037"/>
      <c r="O72" s="1037"/>
      <c r="P72" s="1038"/>
    </row>
    <row r="73" spans="1:16" ht="69.75" customHeight="1" x14ac:dyDescent="0.2">
      <c r="A73" s="593" t="s">
        <v>324</v>
      </c>
      <c r="B73" s="343">
        <v>0</v>
      </c>
      <c r="C73" s="343">
        <v>1092</v>
      </c>
      <c r="D73" s="345">
        <v>60</v>
      </c>
      <c r="E73" s="560">
        <v>655200</v>
      </c>
      <c r="F73" s="594">
        <f>B73+E73</f>
        <v>655200</v>
      </c>
      <c r="G73" s="1036" t="s">
        <v>344</v>
      </c>
      <c r="H73" s="1037"/>
      <c r="I73" s="1037"/>
      <c r="J73" s="1037"/>
      <c r="K73" s="1037"/>
      <c r="L73" s="1037"/>
      <c r="M73" s="1037"/>
      <c r="N73" s="1037"/>
      <c r="O73" s="1037"/>
      <c r="P73" s="1038"/>
    </row>
    <row r="74" spans="1:16" x14ac:dyDescent="0.2">
      <c r="A74" s="575" t="s">
        <v>99</v>
      </c>
      <c r="B74" s="343">
        <v>0</v>
      </c>
      <c r="C74" s="343">
        <v>0</v>
      </c>
      <c r="D74" s="345">
        <v>0</v>
      </c>
      <c r="E74" s="560">
        <f t="shared" si="2"/>
        <v>0</v>
      </c>
      <c r="F74" s="586">
        <f t="shared" si="1"/>
        <v>0</v>
      </c>
      <c r="G74" s="1049"/>
      <c r="H74" s="1050"/>
      <c r="I74" s="1050"/>
      <c r="J74" s="1050"/>
      <c r="K74" s="1050"/>
      <c r="L74" s="1050"/>
      <c r="M74" s="1050"/>
      <c r="N74" s="1050"/>
      <c r="O74" s="1050"/>
      <c r="P74" s="1051"/>
    </row>
    <row r="75" spans="1:16" x14ac:dyDescent="0.2">
      <c r="A75" s="575" t="s">
        <v>100</v>
      </c>
      <c r="B75" s="343">
        <v>0</v>
      </c>
      <c r="C75" s="343">
        <v>0</v>
      </c>
      <c r="D75" s="345">
        <v>0</v>
      </c>
      <c r="E75" s="560">
        <f t="shared" si="2"/>
        <v>0</v>
      </c>
      <c r="F75" s="586">
        <f t="shared" si="1"/>
        <v>0</v>
      </c>
      <c r="G75" s="1039"/>
      <c r="H75" s="1040"/>
      <c r="I75" s="1040"/>
      <c r="J75" s="1040"/>
      <c r="K75" s="1040"/>
      <c r="L75" s="1040"/>
      <c r="M75" s="1040"/>
      <c r="N75" s="1040"/>
      <c r="O75" s="1040"/>
      <c r="P75" s="1041"/>
    </row>
    <row r="76" spans="1:16" ht="25.5" x14ac:dyDescent="0.2">
      <c r="A76" s="575" t="s">
        <v>189</v>
      </c>
      <c r="B76" s="343"/>
      <c r="C76" s="343">
        <v>0</v>
      </c>
      <c r="D76" s="345">
        <v>0</v>
      </c>
      <c r="E76" s="560">
        <f t="shared" si="2"/>
        <v>0</v>
      </c>
      <c r="F76" s="586">
        <f t="shared" si="1"/>
        <v>0</v>
      </c>
      <c r="G76" s="1036" t="s">
        <v>325</v>
      </c>
      <c r="H76" s="1037"/>
      <c r="I76" s="1037"/>
      <c r="J76" s="1037"/>
      <c r="K76" s="1037"/>
      <c r="L76" s="1037"/>
      <c r="M76" s="1037"/>
      <c r="N76" s="1037"/>
      <c r="O76" s="1037"/>
      <c r="P76" s="1038"/>
    </row>
    <row r="77" spans="1:16" x14ac:dyDescent="0.2">
      <c r="A77" s="575" t="s">
        <v>326</v>
      </c>
      <c r="B77" s="343">
        <v>2564160</v>
      </c>
      <c r="C77" s="343"/>
      <c r="D77" s="345"/>
      <c r="E77" s="560"/>
      <c r="F77" s="586"/>
      <c r="G77" s="581" t="s">
        <v>327</v>
      </c>
      <c r="H77" s="582"/>
      <c r="I77" s="582"/>
      <c r="J77" s="582"/>
      <c r="K77" s="582"/>
      <c r="L77" s="582"/>
      <c r="M77" s="582"/>
      <c r="N77" s="582"/>
      <c r="O77" s="582"/>
      <c r="P77" s="583"/>
    </row>
    <row r="78" spans="1:16" x14ac:dyDescent="0.2">
      <c r="A78" s="575" t="s">
        <v>102</v>
      </c>
      <c r="B78" s="343">
        <v>64000</v>
      </c>
      <c r="C78" s="343">
        <v>0</v>
      </c>
      <c r="D78" s="345">
        <v>0</v>
      </c>
      <c r="E78" s="560">
        <f t="shared" si="2"/>
        <v>0</v>
      </c>
      <c r="F78" s="586">
        <f t="shared" si="1"/>
        <v>64000</v>
      </c>
      <c r="G78" s="1033" t="s">
        <v>348</v>
      </c>
      <c r="H78" s="1034"/>
      <c r="I78" s="1034"/>
      <c r="J78" s="1034"/>
      <c r="K78" s="1034"/>
      <c r="L78" s="1034"/>
      <c r="M78" s="1034"/>
      <c r="N78" s="1034"/>
      <c r="O78" s="1034"/>
      <c r="P78" s="1035"/>
    </row>
    <row r="79" spans="1:16" x14ac:dyDescent="0.2">
      <c r="A79" s="308" t="s">
        <v>185</v>
      </c>
      <c r="B79" s="343">
        <v>304581</v>
      </c>
      <c r="C79" s="343"/>
      <c r="D79" s="345"/>
      <c r="E79" s="560"/>
      <c r="F79" s="586"/>
      <c r="G79" s="595" t="s">
        <v>349</v>
      </c>
      <c r="H79" s="596"/>
      <c r="I79" s="596"/>
      <c r="J79" s="596"/>
      <c r="K79" s="596"/>
      <c r="L79" s="596"/>
      <c r="M79" s="596"/>
      <c r="N79" s="596"/>
      <c r="O79" s="596"/>
      <c r="P79" s="597"/>
    </row>
    <row r="80" spans="1:16" ht="25.5" x14ac:dyDescent="0.2">
      <c r="A80" s="575" t="s">
        <v>190</v>
      </c>
      <c r="B80" s="343">
        <v>1368480</v>
      </c>
      <c r="C80" s="343">
        <v>0</v>
      </c>
      <c r="D80" s="345">
        <v>0</v>
      </c>
      <c r="E80" s="560">
        <f t="shared" si="2"/>
        <v>0</v>
      </c>
      <c r="F80" s="586">
        <f t="shared" si="1"/>
        <v>1368480</v>
      </c>
      <c r="G80" s="1033" t="s">
        <v>346</v>
      </c>
      <c r="H80" s="1034"/>
      <c r="I80" s="1034"/>
      <c r="J80" s="1034"/>
      <c r="K80" s="1034"/>
      <c r="L80" s="1034"/>
      <c r="M80" s="1034"/>
      <c r="N80" s="1034"/>
      <c r="O80" s="1034"/>
      <c r="P80" s="1035"/>
    </row>
    <row r="85" spans="1:16" ht="18" x14ac:dyDescent="0.25">
      <c r="A85" s="568" t="s">
        <v>329</v>
      </c>
      <c r="B85" s="569"/>
      <c r="C85" s="569"/>
      <c r="D85" s="569"/>
      <c r="E85" s="569"/>
      <c r="F85" s="569"/>
      <c r="G85" s="598"/>
      <c r="H85" s="599"/>
      <c r="I85" s="600"/>
      <c r="J85" s="599"/>
      <c r="K85" s="601"/>
      <c r="L85" s="601"/>
      <c r="M85" s="601"/>
      <c r="N85" s="601"/>
      <c r="O85" s="600"/>
      <c r="P85" s="600"/>
    </row>
    <row r="87" spans="1:16" x14ac:dyDescent="0.2">
      <c r="A87" s="1016" t="s">
        <v>76</v>
      </c>
      <c r="B87" s="1018" t="s">
        <v>77</v>
      </c>
      <c r="C87" s="1019" t="s">
        <v>78</v>
      </c>
      <c r="D87" s="1019"/>
      <c r="E87" s="1019"/>
      <c r="F87" s="1020" t="s">
        <v>236</v>
      </c>
      <c r="G87" s="570"/>
    </row>
    <row r="88" spans="1:16" x14ac:dyDescent="0.2">
      <c r="A88" s="1017"/>
      <c r="B88" s="1018"/>
      <c r="C88" s="571" t="s">
        <v>67</v>
      </c>
      <c r="D88" s="572" t="s">
        <v>68</v>
      </c>
      <c r="E88" s="573" t="s">
        <v>6</v>
      </c>
      <c r="F88" s="888"/>
      <c r="G88" s="570"/>
    </row>
    <row r="89" spans="1:16" ht="57.75" customHeight="1" x14ac:dyDescent="0.2">
      <c r="A89" s="620" t="s">
        <v>95</v>
      </c>
      <c r="B89" s="621">
        <v>16853854</v>
      </c>
      <c r="C89" s="622">
        <v>0</v>
      </c>
      <c r="D89" s="623">
        <v>0</v>
      </c>
      <c r="E89" s="621">
        <f>C89*D89</f>
        <v>0</v>
      </c>
      <c r="F89" s="621">
        <f>+B89</f>
        <v>16853854</v>
      </c>
      <c r="G89" s="1052" t="s">
        <v>330</v>
      </c>
      <c r="H89" s="1053"/>
      <c r="I89" s="1053"/>
      <c r="J89" s="1053"/>
      <c r="K89" s="1053"/>
      <c r="L89" s="1053"/>
      <c r="M89" s="1053"/>
      <c r="N89" s="1053"/>
      <c r="O89" s="1053"/>
      <c r="P89" s="1053"/>
    </row>
    <row r="90" spans="1:16" ht="64.5" customHeight="1" x14ac:dyDescent="0.2">
      <c r="A90" s="620" t="s">
        <v>308</v>
      </c>
      <c r="B90" s="630">
        <v>8950885</v>
      </c>
      <c r="C90" s="630">
        <v>0</v>
      </c>
      <c r="D90" s="631">
        <v>0</v>
      </c>
      <c r="E90" s="621">
        <v>0</v>
      </c>
      <c r="F90" s="621">
        <f>+B90</f>
        <v>8950885</v>
      </c>
      <c r="G90" s="1054" t="s">
        <v>331</v>
      </c>
      <c r="H90" s="1055"/>
      <c r="I90" s="1055"/>
      <c r="J90" s="1055"/>
      <c r="K90" s="1055"/>
      <c r="L90" s="1055"/>
      <c r="M90" s="1055"/>
      <c r="N90" s="1055"/>
      <c r="O90" s="1055"/>
      <c r="P90" s="1052"/>
    </row>
    <row r="91" spans="1:16" ht="59.25" customHeight="1" x14ac:dyDescent="0.2">
      <c r="A91" s="629" t="s">
        <v>169</v>
      </c>
      <c r="B91" s="630">
        <v>235540</v>
      </c>
      <c r="C91" s="630">
        <v>0</v>
      </c>
      <c r="D91" s="631">
        <v>0</v>
      </c>
      <c r="E91" s="621">
        <v>0</v>
      </c>
      <c r="F91" s="621">
        <f>+B91</f>
        <v>235540</v>
      </c>
      <c r="G91" s="1056" t="s">
        <v>309</v>
      </c>
      <c r="H91" s="1057"/>
      <c r="I91" s="1057"/>
      <c r="J91" s="1057"/>
      <c r="K91" s="1057"/>
      <c r="L91" s="1057"/>
      <c r="M91" s="1057"/>
      <c r="N91" s="1057"/>
      <c r="O91" s="1057"/>
      <c r="P91" s="1058"/>
    </row>
    <row r="92" spans="1:16" ht="59.25" customHeight="1" x14ac:dyDescent="0.2">
      <c r="A92" s="633" t="s">
        <v>170</v>
      </c>
      <c r="B92" s="625">
        <v>0</v>
      </c>
      <c r="C92" s="634">
        <v>0</v>
      </c>
      <c r="D92" s="635">
        <v>0</v>
      </c>
      <c r="E92" s="636">
        <v>0</v>
      </c>
      <c r="F92" s="637">
        <v>0</v>
      </c>
      <c r="G92" s="1030"/>
      <c r="H92" s="1031"/>
      <c r="I92" s="1031"/>
      <c r="J92" s="1031"/>
      <c r="K92" s="1031"/>
      <c r="L92" s="1031"/>
      <c r="M92" s="1031"/>
      <c r="N92" s="1031"/>
      <c r="O92" s="1031"/>
      <c r="P92" s="1032"/>
    </row>
    <row r="93" spans="1:16" x14ac:dyDescent="0.2">
      <c r="A93" s="577" t="s">
        <v>171</v>
      </c>
      <c r="B93" s="343">
        <v>0</v>
      </c>
      <c r="C93" s="344">
        <v>1945</v>
      </c>
      <c r="D93" s="345">
        <v>880</v>
      </c>
      <c r="E93" s="560">
        <v>809160</v>
      </c>
      <c r="F93" s="576">
        <f t="shared" ref="F93:F95" si="3">B93+E93</f>
        <v>809160</v>
      </c>
      <c r="G93" s="1059" t="s">
        <v>355</v>
      </c>
      <c r="H93" s="1060"/>
      <c r="I93" s="1060"/>
      <c r="J93" s="1060"/>
      <c r="K93" s="1060"/>
      <c r="L93" s="1060"/>
      <c r="M93" s="1060"/>
      <c r="N93" s="1060"/>
      <c r="O93" s="1060"/>
      <c r="P93" s="1061"/>
    </row>
    <row r="94" spans="1:16" x14ac:dyDescent="0.2">
      <c r="A94" s="577" t="s">
        <v>172</v>
      </c>
      <c r="B94" s="343">
        <v>0</v>
      </c>
      <c r="C94" s="344">
        <v>1058</v>
      </c>
      <c r="D94" s="345">
        <v>2200</v>
      </c>
      <c r="E94" s="560">
        <f t="shared" ref="E94" si="4">C94*D94</f>
        <v>2327600</v>
      </c>
      <c r="F94" s="576">
        <f t="shared" si="3"/>
        <v>2327600</v>
      </c>
      <c r="G94" s="1036" t="s">
        <v>332</v>
      </c>
      <c r="H94" s="1037"/>
      <c r="I94" s="1037"/>
      <c r="J94" s="1037"/>
      <c r="K94" s="1037"/>
      <c r="L94" s="1037"/>
      <c r="M94" s="1037"/>
      <c r="N94" s="1037"/>
      <c r="O94" s="1037"/>
      <c r="P94" s="1038"/>
    </row>
    <row r="95" spans="1:16" ht="25.5" x14ac:dyDescent="0.2">
      <c r="A95" s="577" t="s">
        <v>173</v>
      </c>
      <c r="B95" s="343">
        <v>0</v>
      </c>
      <c r="C95" s="344">
        <v>1945</v>
      </c>
      <c r="D95" s="345">
        <v>200</v>
      </c>
      <c r="E95" s="560">
        <f>C95*D95</f>
        <v>389000</v>
      </c>
      <c r="F95" s="576">
        <f t="shared" si="3"/>
        <v>389000</v>
      </c>
      <c r="G95" s="1036"/>
      <c r="H95" s="1037"/>
      <c r="I95" s="1037"/>
      <c r="J95" s="1037"/>
      <c r="K95" s="1037"/>
      <c r="L95" s="1037"/>
      <c r="M95" s="1037"/>
      <c r="N95" s="1037"/>
      <c r="O95" s="1037"/>
      <c r="P95" s="1038"/>
    </row>
    <row r="96" spans="1:16" x14ac:dyDescent="0.2">
      <c r="A96" s="577" t="s">
        <v>310</v>
      </c>
      <c r="B96" s="343">
        <v>528786</v>
      </c>
      <c r="C96" s="344"/>
      <c r="D96" s="345"/>
      <c r="E96" s="560"/>
      <c r="F96" s="576"/>
      <c r="G96" s="638" t="s">
        <v>354</v>
      </c>
      <c r="H96" s="579"/>
      <c r="I96" s="579"/>
      <c r="J96" s="579"/>
      <c r="K96" s="579"/>
      <c r="L96" s="579"/>
      <c r="M96" s="579"/>
      <c r="N96" s="579"/>
      <c r="O96" s="579"/>
      <c r="P96" s="580"/>
    </row>
    <row r="97" spans="1:16" x14ac:dyDescent="0.2">
      <c r="A97" s="577" t="s">
        <v>41</v>
      </c>
      <c r="B97" s="343">
        <v>180000</v>
      </c>
      <c r="C97" s="344"/>
      <c r="D97" s="345"/>
      <c r="E97" s="560"/>
      <c r="F97" s="576"/>
      <c r="G97" s="581" t="s">
        <v>311</v>
      </c>
      <c r="H97" s="582"/>
      <c r="I97" s="582"/>
      <c r="J97" s="582"/>
      <c r="K97" s="582"/>
      <c r="L97" s="582"/>
      <c r="M97" s="582"/>
      <c r="N97" s="582"/>
      <c r="O97" s="582"/>
      <c r="P97" s="583"/>
    </row>
    <row r="98" spans="1:16" x14ac:dyDescent="0.2">
      <c r="A98" s="577" t="s">
        <v>312</v>
      </c>
      <c r="B98" s="343">
        <v>91170</v>
      </c>
      <c r="C98" s="344"/>
      <c r="D98" s="345"/>
      <c r="E98" s="560"/>
      <c r="F98" s="576"/>
      <c r="G98" s="581" t="s">
        <v>352</v>
      </c>
      <c r="H98" s="582"/>
      <c r="I98" s="582"/>
      <c r="J98" s="582"/>
      <c r="K98" s="582"/>
      <c r="L98" s="582"/>
      <c r="M98" s="582"/>
      <c r="N98" s="582"/>
      <c r="O98" s="582"/>
      <c r="P98" s="583"/>
    </row>
    <row r="99" spans="1:16" ht="63" customHeight="1" x14ac:dyDescent="0.2">
      <c r="A99" s="577" t="s">
        <v>174</v>
      </c>
      <c r="B99" s="343">
        <v>44572</v>
      </c>
      <c r="C99" s="344">
        <v>0</v>
      </c>
      <c r="D99" s="345">
        <v>0</v>
      </c>
      <c r="E99" s="560">
        <f t="shared" ref="E99:E100" si="5">C99*D99</f>
        <v>0</v>
      </c>
      <c r="F99" s="576">
        <f t="shared" ref="F99:F100" si="6">B99+E99</f>
        <v>44572</v>
      </c>
      <c r="G99" s="65" t="s">
        <v>333</v>
      </c>
      <c r="H99" s="582"/>
      <c r="I99" s="582"/>
      <c r="J99" s="582"/>
      <c r="K99" s="582"/>
      <c r="L99" s="582"/>
      <c r="M99" s="582"/>
      <c r="N99" s="582"/>
      <c r="O99" s="582"/>
      <c r="P99" s="583"/>
    </row>
    <row r="100" spans="1:16" ht="59.25" customHeight="1" x14ac:dyDescent="0.2">
      <c r="A100" s="577" t="s">
        <v>19</v>
      </c>
      <c r="B100" s="343">
        <v>21151</v>
      </c>
      <c r="C100" s="344">
        <v>0</v>
      </c>
      <c r="D100" s="345">
        <v>0</v>
      </c>
      <c r="E100" s="560">
        <f t="shared" si="5"/>
        <v>0</v>
      </c>
      <c r="F100" s="576">
        <f t="shared" si="6"/>
        <v>21151</v>
      </c>
      <c r="G100" s="1036" t="s">
        <v>356</v>
      </c>
      <c r="H100" s="1037"/>
      <c r="I100" s="1037"/>
      <c r="J100" s="1037"/>
      <c r="K100" s="1037"/>
      <c r="L100" s="1037"/>
      <c r="M100" s="1037"/>
      <c r="N100" s="1037"/>
      <c r="O100" s="1037"/>
      <c r="P100" s="1038"/>
    </row>
    <row r="101" spans="1:16" x14ac:dyDescent="0.2">
      <c r="A101" s="577" t="s">
        <v>314</v>
      </c>
      <c r="B101" s="343"/>
      <c r="C101" s="344"/>
      <c r="D101" s="345"/>
      <c r="E101" s="560"/>
      <c r="F101" s="576"/>
    </row>
    <row r="102" spans="1:16" x14ac:dyDescent="0.2">
      <c r="A102" s="577" t="s">
        <v>315</v>
      </c>
      <c r="B102" s="343">
        <v>65967</v>
      </c>
      <c r="C102" s="344"/>
      <c r="D102" s="345"/>
      <c r="E102" s="560"/>
      <c r="F102" s="576">
        <f>+B102</f>
        <v>65967</v>
      </c>
      <c r="G102" s="581" t="s">
        <v>357</v>
      </c>
      <c r="H102" s="582"/>
      <c r="I102" s="582"/>
      <c r="J102" s="582"/>
      <c r="K102" s="582"/>
      <c r="L102" s="582"/>
      <c r="M102" s="582"/>
      <c r="N102" s="582"/>
      <c r="O102" s="582"/>
      <c r="P102" s="583"/>
    </row>
    <row r="103" spans="1:16" x14ac:dyDescent="0.2">
      <c r="A103" s="575" t="s">
        <v>24</v>
      </c>
      <c r="B103" s="343">
        <v>272295</v>
      </c>
      <c r="C103" s="344">
        <v>0</v>
      </c>
      <c r="D103" s="345">
        <v>0</v>
      </c>
      <c r="E103" s="560">
        <f t="shared" ref="E103:E107" si="7">C103*D103</f>
        <v>0</v>
      </c>
      <c r="F103" s="576">
        <f t="shared" ref="F103:F106" si="8">B103+E103</f>
        <v>272295</v>
      </c>
      <c r="G103" s="581" t="s">
        <v>342</v>
      </c>
      <c r="H103" s="582"/>
      <c r="I103" s="582"/>
      <c r="J103" s="582"/>
      <c r="K103" s="582"/>
      <c r="L103" s="582"/>
      <c r="M103" s="582"/>
      <c r="N103" s="582"/>
      <c r="O103" s="582"/>
      <c r="P103" s="583"/>
    </row>
    <row r="104" spans="1:16" x14ac:dyDescent="0.2">
      <c r="A104" s="575" t="s">
        <v>25</v>
      </c>
      <c r="B104" s="343">
        <v>297655</v>
      </c>
      <c r="C104" s="344">
        <v>0</v>
      </c>
      <c r="D104" s="345">
        <v>0</v>
      </c>
      <c r="E104" s="560">
        <f t="shared" si="7"/>
        <v>0</v>
      </c>
      <c r="F104" s="576">
        <f t="shared" si="8"/>
        <v>297655</v>
      </c>
      <c r="G104" s="581" t="s">
        <v>342</v>
      </c>
      <c r="H104" s="582"/>
      <c r="I104" s="582"/>
      <c r="J104" s="582"/>
      <c r="K104" s="582"/>
      <c r="L104" s="582"/>
      <c r="M104" s="582"/>
      <c r="N104" s="582"/>
      <c r="O104" s="582"/>
      <c r="P104" s="583"/>
    </row>
    <row r="105" spans="1:16" x14ac:dyDescent="0.2">
      <c r="A105" s="575" t="s">
        <v>26</v>
      </c>
      <c r="B105" s="343">
        <v>356403</v>
      </c>
      <c r="C105" s="344">
        <v>0</v>
      </c>
      <c r="D105" s="345">
        <v>0</v>
      </c>
      <c r="E105" s="560">
        <f t="shared" si="7"/>
        <v>0</v>
      </c>
      <c r="F105" s="576">
        <f t="shared" si="8"/>
        <v>356403</v>
      </c>
      <c r="G105" s="1036" t="s">
        <v>342</v>
      </c>
      <c r="H105" s="1037"/>
      <c r="I105" s="1037"/>
      <c r="J105" s="1037"/>
      <c r="K105" s="1037"/>
      <c r="L105" s="1037"/>
      <c r="M105" s="1037"/>
      <c r="N105" s="1037"/>
      <c r="O105" s="1037"/>
      <c r="P105" s="1038"/>
    </row>
    <row r="106" spans="1:16" ht="25.5" x14ac:dyDescent="0.2">
      <c r="A106" s="575" t="s">
        <v>179</v>
      </c>
      <c r="B106" s="343">
        <v>317272</v>
      </c>
      <c r="C106" s="344"/>
      <c r="D106" s="345"/>
      <c r="E106" s="560">
        <f t="shared" si="7"/>
        <v>0</v>
      </c>
      <c r="F106" s="576">
        <f t="shared" si="8"/>
        <v>317272</v>
      </c>
    </row>
    <row r="107" spans="1:16" ht="25.5" x14ac:dyDescent="0.2">
      <c r="A107" s="575" t="s">
        <v>180</v>
      </c>
      <c r="B107" s="343"/>
      <c r="C107" s="344">
        <v>0</v>
      </c>
      <c r="D107" s="345">
        <v>0</v>
      </c>
      <c r="E107" s="560">
        <f t="shared" si="7"/>
        <v>0</v>
      </c>
      <c r="F107" s="576"/>
      <c r="G107" s="1036"/>
      <c r="H107" s="1037"/>
      <c r="I107" s="1037"/>
      <c r="J107" s="1037"/>
      <c r="K107" s="1037"/>
      <c r="L107" s="1037"/>
      <c r="M107" s="1037"/>
      <c r="N107" s="1037"/>
      <c r="O107" s="1037"/>
      <c r="P107" s="1038"/>
    </row>
    <row r="108" spans="1:16" x14ac:dyDescent="0.2">
      <c r="A108" s="575" t="s">
        <v>181</v>
      </c>
      <c r="B108" s="343"/>
      <c r="C108" s="344">
        <v>25325</v>
      </c>
      <c r="D108" s="345">
        <v>4</v>
      </c>
      <c r="E108" s="560">
        <f>C108*D108</f>
        <v>101300</v>
      </c>
      <c r="F108" s="576">
        <f t="shared" ref="F108:F109" si="9">B108+E108</f>
        <v>101300</v>
      </c>
      <c r="G108" s="1033" t="s">
        <v>358</v>
      </c>
      <c r="H108" s="1034"/>
      <c r="I108" s="1034"/>
      <c r="J108" s="1034"/>
      <c r="K108" s="1034"/>
      <c r="L108" s="1034"/>
      <c r="M108" s="1034"/>
      <c r="N108" s="1034"/>
      <c r="O108" s="1034"/>
      <c r="P108" s="1035"/>
    </row>
    <row r="109" spans="1:16" x14ac:dyDescent="0.2">
      <c r="A109" s="575" t="s">
        <v>182</v>
      </c>
      <c r="B109" s="343"/>
      <c r="C109" s="344">
        <v>30390</v>
      </c>
      <c r="D109" s="345">
        <v>1</v>
      </c>
      <c r="E109" s="560">
        <f>C109*D109</f>
        <v>30390</v>
      </c>
      <c r="F109" s="576">
        <f t="shared" si="9"/>
        <v>30390</v>
      </c>
      <c r="G109" s="1039" t="s">
        <v>359</v>
      </c>
      <c r="H109" s="1040"/>
      <c r="I109" s="1040"/>
      <c r="J109" s="1040"/>
      <c r="K109" s="1040"/>
      <c r="L109" s="1040"/>
      <c r="M109" s="1040"/>
      <c r="N109" s="1040"/>
      <c r="O109" s="1040"/>
      <c r="P109" s="1041"/>
    </row>
    <row r="110" spans="1:16" ht="25.5" x14ac:dyDescent="0.2">
      <c r="A110" s="574" t="s">
        <v>318</v>
      </c>
      <c r="B110" s="343">
        <v>36098</v>
      </c>
      <c r="C110" s="344">
        <v>0</v>
      </c>
      <c r="D110" s="345">
        <v>0</v>
      </c>
      <c r="E110" s="560">
        <f t="shared" ref="E110:E111" si="10">C110*D110</f>
        <v>0</v>
      </c>
      <c r="F110" s="584"/>
    </row>
    <row r="111" spans="1:16" x14ac:dyDescent="0.2">
      <c r="A111" s="585" t="s">
        <v>51</v>
      </c>
      <c r="B111" s="343">
        <v>52987</v>
      </c>
      <c r="C111" s="343">
        <v>0</v>
      </c>
      <c r="D111" s="345">
        <v>0</v>
      </c>
      <c r="E111" s="560">
        <f t="shared" si="10"/>
        <v>0</v>
      </c>
      <c r="F111" s="586">
        <f t="shared" ref="F111" si="11">B111+E111</f>
        <v>52987</v>
      </c>
      <c r="G111" s="1036" t="s">
        <v>319</v>
      </c>
      <c r="H111" s="1037"/>
      <c r="I111" s="1037"/>
      <c r="J111" s="1037"/>
      <c r="K111" s="1037"/>
      <c r="L111" s="1037"/>
      <c r="M111" s="1037"/>
      <c r="N111" s="1037"/>
      <c r="O111" s="1037"/>
      <c r="P111" s="1038"/>
    </row>
    <row r="112" spans="1:16" x14ac:dyDescent="0.2">
      <c r="A112" s="585" t="s">
        <v>320</v>
      </c>
      <c r="B112" s="343"/>
      <c r="C112" s="343"/>
      <c r="D112" s="345"/>
      <c r="E112" s="560"/>
      <c r="F112" s="586"/>
      <c r="G112" s="587" t="s">
        <v>334</v>
      </c>
      <c r="H112" s="587"/>
      <c r="I112" s="587"/>
      <c r="J112" s="587"/>
      <c r="K112" s="587"/>
      <c r="L112" s="587"/>
      <c r="M112" s="587"/>
      <c r="N112" s="587"/>
      <c r="O112" s="588"/>
    </row>
    <row r="113" spans="1:16" x14ac:dyDescent="0.2">
      <c r="A113" s="575" t="s">
        <v>47</v>
      </c>
      <c r="B113" s="343">
        <v>211514</v>
      </c>
      <c r="C113" s="343">
        <v>0</v>
      </c>
      <c r="D113" s="345">
        <v>0</v>
      </c>
      <c r="E113" s="560">
        <f t="shared" ref="E113:E115" si="12">C113*D113</f>
        <v>0</v>
      </c>
      <c r="F113" s="586">
        <f t="shared" ref="F113" si="13">B113+E113</f>
        <v>211514</v>
      </c>
      <c r="G113" s="1045" t="s">
        <v>322</v>
      </c>
      <c r="H113" s="1037"/>
      <c r="I113" s="1037"/>
      <c r="J113" s="1037"/>
      <c r="K113" s="1037"/>
      <c r="L113" s="1037"/>
      <c r="M113" s="1037"/>
      <c r="N113" s="1037"/>
      <c r="O113" s="1037"/>
      <c r="P113" s="1038"/>
    </row>
    <row r="114" spans="1:16" x14ac:dyDescent="0.2">
      <c r="A114" s="589" t="s">
        <v>52</v>
      </c>
      <c r="B114" s="343">
        <v>121560</v>
      </c>
      <c r="C114" s="343">
        <v>0</v>
      </c>
      <c r="D114" s="345">
        <v>0</v>
      </c>
      <c r="E114" s="560">
        <f t="shared" si="12"/>
        <v>0</v>
      </c>
      <c r="F114" s="590"/>
      <c r="G114" s="65" t="s">
        <v>353</v>
      </c>
    </row>
    <row r="115" spans="1:16" ht="25.5" x14ac:dyDescent="0.2">
      <c r="A115" s="575" t="s">
        <v>184</v>
      </c>
      <c r="B115" s="343">
        <v>21997</v>
      </c>
      <c r="C115" s="343">
        <v>0</v>
      </c>
      <c r="D115" s="345">
        <v>0</v>
      </c>
      <c r="E115" s="560">
        <f t="shared" si="12"/>
        <v>0</v>
      </c>
      <c r="F115" s="586">
        <f t="shared" ref="F115" si="14">B115+E115</f>
        <v>21997</v>
      </c>
      <c r="G115" s="1036" t="s">
        <v>323</v>
      </c>
      <c r="H115" s="1037"/>
      <c r="I115" s="1037"/>
      <c r="J115" s="1037"/>
      <c r="K115" s="1037"/>
      <c r="L115" s="1037"/>
      <c r="M115" s="1037"/>
      <c r="N115" s="1037"/>
      <c r="O115" s="1037"/>
      <c r="P115" s="1038"/>
    </row>
    <row r="116" spans="1:16" x14ac:dyDescent="0.2">
      <c r="A116" s="591" t="s">
        <v>57</v>
      </c>
      <c r="B116" s="343">
        <v>0</v>
      </c>
      <c r="C116" s="343"/>
      <c r="D116" s="345"/>
      <c r="E116" s="560"/>
      <c r="F116" s="586"/>
    </row>
    <row r="117" spans="1:16" x14ac:dyDescent="0.2">
      <c r="A117" s="592" t="s">
        <v>187</v>
      </c>
      <c r="B117" s="343">
        <v>0</v>
      </c>
      <c r="C117" s="343">
        <v>7560</v>
      </c>
      <c r="D117" s="345">
        <v>10</v>
      </c>
      <c r="E117" s="560">
        <f t="shared" ref="E117:E122" si="15">C117*D117</f>
        <v>75600</v>
      </c>
      <c r="F117" s="590">
        <f t="shared" ref="F117:F122" si="16">B117+E117</f>
        <v>75600</v>
      </c>
      <c r="G117" s="1036" t="s">
        <v>345</v>
      </c>
      <c r="H117" s="1037"/>
      <c r="I117" s="1037"/>
      <c r="J117" s="1037"/>
      <c r="K117" s="1037"/>
      <c r="L117" s="1037"/>
      <c r="M117" s="1037"/>
      <c r="N117" s="1037"/>
      <c r="O117" s="1037"/>
      <c r="P117" s="1038"/>
    </row>
    <row r="118" spans="1:16" ht="25.5" x14ac:dyDescent="0.2">
      <c r="A118" s="577" t="s">
        <v>188</v>
      </c>
      <c r="B118" s="343"/>
      <c r="C118" s="343">
        <v>0</v>
      </c>
      <c r="D118" s="345">
        <v>0</v>
      </c>
      <c r="E118" s="560">
        <f t="shared" si="15"/>
        <v>0</v>
      </c>
      <c r="F118" s="586">
        <f t="shared" si="16"/>
        <v>0</v>
      </c>
      <c r="G118" s="1036"/>
      <c r="H118" s="1037"/>
      <c r="I118" s="1037"/>
      <c r="J118" s="1037"/>
      <c r="K118" s="1037"/>
      <c r="L118" s="1037"/>
      <c r="M118" s="1037"/>
      <c r="N118" s="1037"/>
      <c r="O118" s="1037"/>
      <c r="P118" s="1038"/>
    </row>
    <row r="119" spans="1:16" ht="25.5" x14ac:dyDescent="0.2">
      <c r="A119" s="593" t="s">
        <v>324</v>
      </c>
      <c r="B119" s="343">
        <v>0</v>
      </c>
      <c r="C119" s="343">
        <v>0</v>
      </c>
      <c r="D119" s="345">
        <v>0</v>
      </c>
      <c r="E119" s="560">
        <f t="shared" si="15"/>
        <v>0</v>
      </c>
      <c r="F119" s="594">
        <f t="shared" si="16"/>
        <v>0</v>
      </c>
    </row>
    <row r="120" spans="1:16" x14ac:dyDescent="0.2">
      <c r="A120" s="575" t="s">
        <v>99</v>
      </c>
      <c r="B120" s="343">
        <v>0</v>
      </c>
      <c r="C120" s="343">
        <v>0</v>
      </c>
      <c r="D120" s="345">
        <v>0</v>
      </c>
      <c r="E120" s="560">
        <f t="shared" si="15"/>
        <v>0</v>
      </c>
      <c r="F120" s="586">
        <f t="shared" si="16"/>
        <v>0</v>
      </c>
      <c r="G120" s="1036"/>
      <c r="H120" s="1037"/>
      <c r="I120" s="1037"/>
      <c r="J120" s="1037"/>
      <c r="K120" s="1037"/>
      <c r="L120" s="1037"/>
      <c r="M120" s="1037"/>
      <c r="N120" s="1037"/>
      <c r="O120" s="1037"/>
      <c r="P120" s="1038"/>
    </row>
    <row r="121" spans="1:16" x14ac:dyDescent="0.2">
      <c r="A121" s="575" t="s">
        <v>100</v>
      </c>
      <c r="B121" s="343">
        <v>0</v>
      </c>
      <c r="C121" s="343">
        <v>0</v>
      </c>
      <c r="D121" s="345">
        <v>0</v>
      </c>
      <c r="E121" s="560">
        <f t="shared" si="15"/>
        <v>0</v>
      </c>
      <c r="F121" s="586">
        <f t="shared" si="16"/>
        <v>0</v>
      </c>
      <c r="G121" s="1049"/>
      <c r="H121" s="1050"/>
      <c r="I121" s="1050"/>
      <c r="J121" s="1050"/>
      <c r="K121" s="1050"/>
      <c r="L121" s="1050"/>
      <c r="M121" s="1050"/>
      <c r="N121" s="1050"/>
      <c r="O121" s="1050"/>
      <c r="P121" s="1051"/>
    </row>
    <row r="122" spans="1:16" ht="25.5" x14ac:dyDescent="0.2">
      <c r="A122" s="575" t="s">
        <v>189</v>
      </c>
      <c r="B122" s="343"/>
      <c r="C122" s="343">
        <v>0</v>
      </c>
      <c r="D122" s="345">
        <v>0</v>
      </c>
      <c r="E122" s="560">
        <f t="shared" si="15"/>
        <v>0</v>
      </c>
      <c r="F122" s="586">
        <f t="shared" si="16"/>
        <v>0</v>
      </c>
      <c r="G122" s="1036"/>
      <c r="H122" s="1037"/>
      <c r="I122" s="1037"/>
      <c r="J122" s="1037"/>
      <c r="K122" s="1037"/>
      <c r="L122" s="1037"/>
      <c r="M122" s="1037"/>
      <c r="N122" s="1037"/>
      <c r="O122" s="1037"/>
      <c r="P122" s="1038"/>
    </row>
    <row r="123" spans="1:16" x14ac:dyDescent="0.2">
      <c r="A123" s="575" t="s">
        <v>326</v>
      </c>
      <c r="B123" s="343">
        <v>641040</v>
      </c>
      <c r="C123" s="343"/>
      <c r="D123" s="345"/>
      <c r="E123" s="560"/>
      <c r="F123" s="586"/>
      <c r="G123" s="581" t="s">
        <v>335</v>
      </c>
      <c r="H123" s="582"/>
      <c r="I123" s="582"/>
      <c r="J123" s="582"/>
    </row>
    <row r="124" spans="1:16" x14ac:dyDescent="0.2">
      <c r="A124" s="575" t="s">
        <v>102</v>
      </c>
      <c r="B124" s="343">
        <v>16000</v>
      </c>
      <c r="C124" s="343">
        <v>0</v>
      </c>
      <c r="D124" s="345">
        <v>0</v>
      </c>
      <c r="E124" s="560">
        <f t="shared" ref="E124:E126" si="17">C124*D124</f>
        <v>0</v>
      </c>
      <c r="F124" s="586">
        <f t="shared" ref="F124:F126" si="18">B124+E124</f>
        <v>16000</v>
      </c>
      <c r="G124" s="1033" t="s">
        <v>328</v>
      </c>
      <c r="H124" s="1034"/>
      <c r="I124" s="1034"/>
      <c r="J124" s="1034"/>
      <c r="K124" s="1034"/>
      <c r="L124" s="1034"/>
      <c r="M124" s="1034"/>
      <c r="N124" s="1034"/>
      <c r="O124" s="1034"/>
      <c r="P124" s="1035"/>
    </row>
    <row r="125" spans="1:16" ht="25.5" x14ac:dyDescent="0.2">
      <c r="A125" s="575" t="s">
        <v>190</v>
      </c>
      <c r="B125" s="343">
        <v>342120</v>
      </c>
      <c r="C125" s="343">
        <v>0</v>
      </c>
      <c r="D125" s="345">
        <v>0</v>
      </c>
      <c r="E125" s="560">
        <f t="shared" si="17"/>
        <v>0</v>
      </c>
      <c r="F125" s="586">
        <f t="shared" si="18"/>
        <v>342120</v>
      </c>
      <c r="G125" s="1033" t="s">
        <v>346</v>
      </c>
      <c r="H125" s="1034"/>
      <c r="I125" s="1034"/>
      <c r="J125" s="1034"/>
      <c r="K125" s="1034"/>
      <c r="L125" s="1034"/>
      <c r="M125" s="1034"/>
      <c r="N125" s="1034"/>
      <c r="O125" s="1034"/>
      <c r="P125" s="1035"/>
    </row>
    <row r="126" spans="1:16" x14ac:dyDescent="0.2">
      <c r="A126" s="308" t="s">
        <v>185</v>
      </c>
      <c r="B126" s="343">
        <v>76145</v>
      </c>
      <c r="C126" s="343">
        <v>0</v>
      </c>
      <c r="D126" s="345">
        <v>0</v>
      </c>
      <c r="E126" s="560">
        <f t="shared" si="17"/>
        <v>0</v>
      </c>
      <c r="F126" s="586">
        <f t="shared" si="18"/>
        <v>76145</v>
      </c>
      <c r="G126" s="595" t="s">
        <v>347</v>
      </c>
      <c r="H126" s="596"/>
      <c r="I126" s="596"/>
      <c r="J126" s="596"/>
      <c r="K126" s="596"/>
      <c r="L126" s="596"/>
      <c r="M126" s="596"/>
      <c r="N126" s="596"/>
      <c r="O126" s="596"/>
      <c r="P126" s="597"/>
    </row>
  </sheetData>
  <mergeCells count="63">
    <mergeCell ref="G125:P125"/>
    <mergeCell ref="G118:P118"/>
    <mergeCell ref="G120:P120"/>
    <mergeCell ref="G121:P121"/>
    <mergeCell ref="G122:P122"/>
    <mergeCell ref="G124:P124"/>
    <mergeCell ref="G109:P109"/>
    <mergeCell ref="G111:P111"/>
    <mergeCell ref="G113:P113"/>
    <mergeCell ref="G115:P115"/>
    <mergeCell ref="G117:P117"/>
    <mergeCell ref="G95:P95"/>
    <mergeCell ref="G100:P100"/>
    <mergeCell ref="G105:P105"/>
    <mergeCell ref="G107:P107"/>
    <mergeCell ref="G108:P108"/>
    <mergeCell ref="G90:P90"/>
    <mergeCell ref="G91:P91"/>
    <mergeCell ref="G92:P92"/>
    <mergeCell ref="G93:P93"/>
    <mergeCell ref="G94:P94"/>
    <mergeCell ref="A87:A88"/>
    <mergeCell ref="B87:B88"/>
    <mergeCell ref="C87:E87"/>
    <mergeCell ref="F87:F88"/>
    <mergeCell ref="G89:P89"/>
    <mergeCell ref="G74:P74"/>
    <mergeCell ref="G75:P75"/>
    <mergeCell ref="G76:P76"/>
    <mergeCell ref="G78:P78"/>
    <mergeCell ref="G80:P80"/>
    <mergeCell ref="G69:P69"/>
    <mergeCell ref="G70:P70"/>
    <mergeCell ref="G71:P71"/>
    <mergeCell ref="G72:P72"/>
    <mergeCell ref="G73:P73"/>
    <mergeCell ref="G63:P63"/>
    <mergeCell ref="G64:P64"/>
    <mergeCell ref="G65:P65"/>
    <mergeCell ref="G67:P67"/>
    <mergeCell ref="G68:P68"/>
    <mergeCell ref="G58:P58"/>
    <mergeCell ref="G59:P59"/>
    <mergeCell ref="G60:P60"/>
    <mergeCell ref="G61:P61"/>
    <mergeCell ref="G62:P62"/>
    <mergeCell ref="G47:P47"/>
    <mergeCell ref="G48:P48"/>
    <mergeCell ref="G53:P53"/>
    <mergeCell ref="G54:P54"/>
    <mergeCell ref="G57:P57"/>
    <mergeCell ref="G42:P42"/>
    <mergeCell ref="G43:P43"/>
    <mergeCell ref="G44:P44"/>
    <mergeCell ref="G45:P45"/>
    <mergeCell ref="G46:P46"/>
    <mergeCell ref="J4:K4"/>
    <mergeCell ref="B9:C9"/>
    <mergeCell ref="B35:D35"/>
    <mergeCell ref="A40:A41"/>
    <mergeCell ref="B40:B41"/>
    <mergeCell ref="C40:E40"/>
    <mergeCell ref="F40:F41"/>
  </mergeCells>
  <pageMargins left="0.7" right="0.7" top="0.75" bottom="0.75" header="0.3" footer="0.3"/>
  <pageSetup orientation="portrait" r:id="rId1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  <pageSetUpPr fitToPage="1"/>
  </sheetPr>
  <dimension ref="A2:O25"/>
  <sheetViews>
    <sheetView tabSelected="1" zoomScale="90" zoomScaleNormal="90" workbookViewId="0">
      <selection activeCell="G25" sqref="G25"/>
    </sheetView>
  </sheetViews>
  <sheetFormatPr baseColWidth="10" defaultRowHeight="15" x14ac:dyDescent="0.25"/>
  <cols>
    <col min="1" max="1" width="38.140625" style="455" bestFit="1" customWidth="1"/>
    <col min="2" max="13" width="13.85546875" style="455" bestFit="1" customWidth="1"/>
    <col min="14" max="14" width="14.85546875" style="455" bestFit="1" customWidth="1"/>
    <col min="15" max="15" width="13.85546875" style="455" bestFit="1" customWidth="1"/>
    <col min="16" max="16384" width="11.42578125" style="455"/>
  </cols>
  <sheetData>
    <row r="2" spans="1:15" ht="15.75" x14ac:dyDescent="0.25">
      <c r="A2" s="1062" t="s">
        <v>258</v>
      </c>
      <c r="B2" s="1062"/>
      <c r="C2" s="1062"/>
      <c r="D2" s="1062"/>
    </row>
    <row r="4" spans="1:15" x14ac:dyDescent="0.25">
      <c r="A4" s="466" t="s">
        <v>263</v>
      </c>
      <c r="B4" s="456" t="s">
        <v>241</v>
      </c>
      <c r="C4" s="456" t="s">
        <v>242</v>
      </c>
      <c r="D4" s="456" t="s">
        <v>243</v>
      </c>
      <c r="E4" s="456" t="s">
        <v>244</v>
      </c>
      <c r="F4" s="456" t="s">
        <v>245</v>
      </c>
      <c r="G4" s="456" t="s">
        <v>246</v>
      </c>
      <c r="H4" s="456" t="s">
        <v>247</v>
      </c>
      <c r="I4" s="456" t="s">
        <v>248</v>
      </c>
      <c r="J4" s="456" t="s">
        <v>249</v>
      </c>
      <c r="K4" s="456" t="s">
        <v>250</v>
      </c>
      <c r="L4" s="456" t="s">
        <v>251</v>
      </c>
      <c r="M4" s="456" t="s">
        <v>252</v>
      </c>
    </row>
    <row r="5" spans="1:15" x14ac:dyDescent="0.25">
      <c r="A5" s="457" t="s">
        <v>259</v>
      </c>
      <c r="B5" s="458"/>
      <c r="C5" s="458"/>
      <c r="D5" s="458">
        <f>+'B) Reajuste Tarifas y Ocupación'!$I$25</f>
        <v>62</v>
      </c>
      <c r="E5" s="458">
        <f>+'B) Reajuste Tarifas y Ocupación'!$I$25</f>
        <v>62</v>
      </c>
      <c r="F5" s="458">
        <f>+'B) Reajuste Tarifas y Ocupación'!$I$25</f>
        <v>62</v>
      </c>
      <c r="G5" s="458">
        <f>+'B) Reajuste Tarifas y Ocupación'!$I$25</f>
        <v>62</v>
      </c>
      <c r="H5" s="458">
        <f>+'B) Reajuste Tarifas y Ocupación'!$I$25</f>
        <v>62</v>
      </c>
      <c r="I5" s="458">
        <f>+'B) Reajuste Tarifas y Ocupación'!$I$25</f>
        <v>62</v>
      </c>
      <c r="J5" s="458">
        <f>+'B) Reajuste Tarifas y Ocupación'!$I$25</f>
        <v>62</v>
      </c>
      <c r="K5" s="458">
        <f>+'B) Reajuste Tarifas y Ocupación'!$I$25</f>
        <v>62</v>
      </c>
      <c r="L5" s="458">
        <f>+'B) Reajuste Tarifas y Ocupación'!$I$25</f>
        <v>62</v>
      </c>
      <c r="M5" s="458">
        <f>+'B) Reajuste Tarifas y Ocupación'!$I$25</f>
        <v>62</v>
      </c>
    </row>
    <row r="6" spans="1:15" x14ac:dyDescent="0.25">
      <c r="A6" s="457" t="s">
        <v>260</v>
      </c>
      <c r="B6" s="458">
        <f>+COUNTA('F) Remuneraciones'!$C$11:$C$21)</f>
        <v>10</v>
      </c>
      <c r="C6" s="458">
        <f>+COUNTA('F) Remuneraciones'!$C$11:$C$21)</f>
        <v>10</v>
      </c>
      <c r="D6" s="458">
        <f>+COUNTA('F) Remuneraciones'!$C$11:$C$21)</f>
        <v>10</v>
      </c>
      <c r="E6" s="458">
        <f>+COUNTA('F) Remuneraciones'!$C$11:$C$21)</f>
        <v>10</v>
      </c>
      <c r="F6" s="458">
        <f>+COUNTA('F) Remuneraciones'!$C$11:$C$21)</f>
        <v>10</v>
      </c>
      <c r="G6" s="458">
        <f>+COUNTA('F) Remuneraciones'!$C$11:$C$21)</f>
        <v>10</v>
      </c>
      <c r="H6" s="458">
        <f>+COUNTA('F) Remuneraciones'!$C$11:$C$21)</f>
        <v>10</v>
      </c>
      <c r="I6" s="458">
        <f>+COUNTA('F) Remuneraciones'!$C$11:$C$21)</f>
        <v>10</v>
      </c>
      <c r="J6" s="458">
        <f>+COUNTA('F) Remuneraciones'!$C$11:$C$21)</f>
        <v>10</v>
      </c>
      <c r="K6" s="458">
        <f>+COUNTA('F) Remuneraciones'!$C$11:$C$21)</f>
        <v>10</v>
      </c>
      <c r="L6" s="458">
        <f>+COUNTA('F) Remuneraciones'!$C$11:$C$21)</f>
        <v>10</v>
      </c>
      <c r="M6" s="458">
        <f>+COUNTA('F) Remuneraciones'!$C$11:$C$21)</f>
        <v>10</v>
      </c>
    </row>
    <row r="7" spans="1:15" x14ac:dyDescent="0.25">
      <c r="A7" s="457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</row>
    <row r="8" spans="1:15" ht="30" x14ac:dyDescent="0.25">
      <c r="A8" s="460" t="str">
        <f>+'A) Resumen Ingresos y Egresos'!A21</f>
        <v>Jardín Infantil Olitas de Mar</v>
      </c>
      <c r="B8" s="456" t="s">
        <v>241</v>
      </c>
      <c r="C8" s="456" t="s">
        <v>242</v>
      </c>
      <c r="D8" s="456" t="s">
        <v>243</v>
      </c>
      <c r="E8" s="456" t="s">
        <v>244</v>
      </c>
      <c r="F8" s="456" t="s">
        <v>245</v>
      </c>
      <c r="G8" s="456" t="s">
        <v>246</v>
      </c>
      <c r="H8" s="456" t="s">
        <v>247</v>
      </c>
      <c r="I8" s="456" t="s">
        <v>248</v>
      </c>
      <c r="J8" s="456" t="s">
        <v>249</v>
      </c>
      <c r="K8" s="456" t="s">
        <v>250</v>
      </c>
      <c r="L8" s="456" t="s">
        <v>251</v>
      </c>
      <c r="M8" s="456" t="s">
        <v>252</v>
      </c>
      <c r="N8" s="456" t="s">
        <v>261</v>
      </c>
    </row>
    <row r="9" spans="1:15" x14ac:dyDescent="0.25">
      <c r="A9" s="461" t="s">
        <v>253</v>
      </c>
      <c r="B9" s="462">
        <f>+'A) Resumen Ingresos y Egresos'!P30</f>
        <v>1641600</v>
      </c>
      <c r="C9" s="462">
        <f>+'A) Resumen Ingresos y Egresos'!N30*0.7</f>
        <v>3956679.9999999995</v>
      </c>
      <c r="D9" s="462">
        <f>+'A) Resumen Ingresos y Egresos'!N30*0.3+'A) Resumen Ingresos y Egresos'!O30*0.1</f>
        <v>7348120</v>
      </c>
      <c r="E9" s="462">
        <f>+'A) Resumen Ingresos y Egresos'!$O$30*0.1</f>
        <v>5652400</v>
      </c>
      <c r="F9" s="462">
        <f>+'A) Resumen Ingresos y Egresos'!$O$30*0.1</f>
        <v>5652400</v>
      </c>
      <c r="G9" s="462">
        <f>+'A) Resumen Ingresos y Egresos'!$O$30*0.1</f>
        <v>5652400</v>
      </c>
      <c r="H9" s="462">
        <f>+'A) Resumen Ingresos y Egresos'!$O$30*0.1</f>
        <v>5652400</v>
      </c>
      <c r="I9" s="462">
        <f>+'A) Resumen Ingresos y Egresos'!$O$30*0.1</f>
        <v>5652400</v>
      </c>
      <c r="J9" s="462">
        <f>+'A) Resumen Ingresos y Egresos'!$O$30*0.1</f>
        <v>5652400</v>
      </c>
      <c r="K9" s="462">
        <f>+'A) Resumen Ingresos y Egresos'!$O$30*0.1</f>
        <v>5652400</v>
      </c>
      <c r="L9" s="462">
        <f>+'A) Resumen Ingresos y Egresos'!$O$30*0.1</f>
        <v>5652400</v>
      </c>
      <c r="M9" s="462">
        <f>+'A) Resumen Ingresos y Egresos'!$O$30*0.1</f>
        <v>5652400</v>
      </c>
      <c r="N9" s="463">
        <f>SUM(B9:M9)</f>
        <v>63818000</v>
      </c>
    </row>
    <row r="10" spans="1:15" x14ac:dyDescent="0.25">
      <c r="A10" s="461" t="s">
        <v>254</v>
      </c>
      <c r="B10" s="462">
        <f>SUM('F) Remuneraciones'!$H$11:$H$21)/12</f>
        <v>3183436.1418666667</v>
      </c>
      <c r="C10" s="462">
        <f>SUM('F) Remuneraciones'!$H$11:$H$21)/12</f>
        <v>3183436.1418666667</v>
      </c>
      <c r="D10" s="462">
        <f>SUM('F) Remuneraciones'!$H$11:$H$21)/12</f>
        <v>3183436.1418666667</v>
      </c>
      <c r="E10" s="462">
        <f>SUM('F) Remuneraciones'!$H$11:$H$21)/12</f>
        <v>3183436.1418666667</v>
      </c>
      <c r="F10" s="462">
        <f>SUM('F) Remuneraciones'!$H$11:$H$21)/12</f>
        <v>3183436.1418666667</v>
      </c>
      <c r="G10" s="462">
        <f>SUM('F) Remuneraciones'!$H$11:$H$21)/12</f>
        <v>3183436.1418666667</v>
      </c>
      <c r="H10" s="462">
        <f>SUM('F) Remuneraciones'!$H$11:$H$21)/12</f>
        <v>3183436.1418666667</v>
      </c>
      <c r="I10" s="462">
        <f>SUM('F) Remuneraciones'!$H$11:$H$21)/12</f>
        <v>3183436.1418666667</v>
      </c>
      <c r="J10" s="462">
        <f>SUM('F) Remuneraciones'!$H$11:$H$21)/12</f>
        <v>3183436.1418666667</v>
      </c>
      <c r="K10" s="462">
        <f>SUM('F) Remuneraciones'!$H$11:$H$21)/12</f>
        <v>3183436.1418666667</v>
      </c>
      <c r="L10" s="462">
        <f>SUM('F) Remuneraciones'!$H$11:$H$21)/12</f>
        <v>3183436.1418666667</v>
      </c>
      <c r="M10" s="462">
        <f>SUM('F) Remuneraciones'!$H$11:$H$21)/12</f>
        <v>3183436.1418666667</v>
      </c>
      <c r="N10" s="463">
        <f t="shared" ref="N10:N12" si="0">SUM(B10:M10)</f>
        <v>38201233.702399999</v>
      </c>
    </row>
    <row r="11" spans="1:15" x14ac:dyDescent="0.25">
      <c r="A11" s="461" t="s">
        <v>256</v>
      </c>
      <c r="B11" s="462">
        <f>SUM('F) Remuneraciones'!I11:I21)*0.5</f>
        <v>870000</v>
      </c>
      <c r="C11" s="462">
        <v>0</v>
      </c>
      <c r="D11" s="462">
        <v>0</v>
      </c>
      <c r="E11" s="462">
        <v>0</v>
      </c>
      <c r="F11" s="462">
        <v>0</v>
      </c>
      <c r="G11" s="462">
        <v>0</v>
      </c>
      <c r="H11" s="462">
        <v>0</v>
      </c>
      <c r="I11" s="462">
        <v>0</v>
      </c>
      <c r="J11" s="462">
        <f>SUM('F) Remuneraciones'!J11:J21)*0.5</f>
        <v>127164</v>
      </c>
      <c r="K11" s="462">
        <v>0</v>
      </c>
      <c r="L11" s="462">
        <v>0</v>
      </c>
      <c r="M11" s="462">
        <f>+B11+J11</f>
        <v>997164</v>
      </c>
      <c r="N11" s="463">
        <f t="shared" si="0"/>
        <v>1994328</v>
      </c>
    </row>
    <row r="12" spans="1:15" x14ac:dyDescent="0.25">
      <c r="A12" s="461" t="s">
        <v>255</v>
      </c>
      <c r="B12" s="462">
        <f>(+'C) Costos Directos'!$H$75-'C) Costos Directos'!$D$14)*0.05</f>
        <v>1460242.4100000001</v>
      </c>
      <c r="C12" s="462">
        <f>(+'C) Costos Directos'!$H$75-'C) Costos Directos'!$D$14)*0.05</f>
        <v>1460242.4100000001</v>
      </c>
      <c r="D12" s="462">
        <f>(+'C) Costos Directos'!$H$75-'C) Costos Directos'!$D$14)*0.09</f>
        <v>2628436.338</v>
      </c>
      <c r="E12" s="462">
        <f>(+'C) Costos Directos'!$H$75-'C) Costos Directos'!$D$14)*0.09</f>
        <v>2628436.338</v>
      </c>
      <c r="F12" s="462">
        <f>(+'C) Costos Directos'!$H$75-'C) Costos Directos'!$D$14)*0.09</f>
        <v>2628436.338</v>
      </c>
      <c r="G12" s="462">
        <f>(+'C) Costos Directos'!$H$75-'C) Costos Directos'!$D$14)*0.09</f>
        <v>2628436.338</v>
      </c>
      <c r="H12" s="462">
        <f>(+'C) Costos Directos'!$H$75-'C) Costos Directos'!$D$14)*0.09</f>
        <v>2628436.338</v>
      </c>
      <c r="I12" s="462">
        <f>(+'C) Costos Directos'!$H$75-'C) Costos Directos'!$D$14)*0.09</f>
        <v>2628436.338</v>
      </c>
      <c r="J12" s="462">
        <f>(+'C) Costos Directos'!$H$75-'C) Costos Directos'!$D$14)*0.09</f>
        <v>2628436.338</v>
      </c>
      <c r="K12" s="462">
        <f>(+'C) Costos Directos'!$H$75-'C) Costos Directos'!$D$14)*0.09</f>
        <v>2628436.338</v>
      </c>
      <c r="L12" s="462">
        <f>(+'C) Costos Directos'!$H$75-'C) Costos Directos'!$D$14)*0.09</f>
        <v>2628436.338</v>
      </c>
      <c r="M12" s="462">
        <f>(+'C) Costos Directos'!$H$75-'C) Costos Directos'!$D$14)*0.09</f>
        <v>2628436.338</v>
      </c>
      <c r="N12" s="463">
        <f t="shared" si="0"/>
        <v>29204848.199999996</v>
      </c>
      <c r="O12" s="462"/>
    </row>
    <row r="13" spans="1:15" x14ac:dyDescent="0.25">
      <c r="A13" s="464" t="s">
        <v>262</v>
      </c>
      <c r="B13" s="465">
        <f t="shared" ref="B13:M13" si="1">+B9-B10-B11-B12</f>
        <v>-3872078.5518666669</v>
      </c>
      <c r="C13" s="465">
        <f t="shared" si="1"/>
        <v>-686998.55186666735</v>
      </c>
      <c r="D13" s="465">
        <f t="shared" si="1"/>
        <v>1536247.5201333333</v>
      </c>
      <c r="E13" s="465">
        <f t="shared" si="1"/>
        <v>-159472.47986666672</v>
      </c>
      <c r="F13" s="465">
        <f t="shared" si="1"/>
        <v>-159472.47986666672</v>
      </c>
      <c r="G13" s="465">
        <f t="shared" si="1"/>
        <v>-159472.47986666672</v>
      </c>
      <c r="H13" s="465">
        <f t="shared" si="1"/>
        <v>-159472.47986666672</v>
      </c>
      <c r="I13" s="465">
        <f t="shared" si="1"/>
        <v>-159472.47986666672</v>
      </c>
      <c r="J13" s="465">
        <f t="shared" si="1"/>
        <v>-286636.47986666672</v>
      </c>
      <c r="K13" s="465">
        <f t="shared" si="1"/>
        <v>-159472.47986666672</v>
      </c>
      <c r="L13" s="465">
        <f t="shared" si="1"/>
        <v>-159472.47986666672</v>
      </c>
      <c r="M13" s="465">
        <f t="shared" si="1"/>
        <v>-1156636.4798666667</v>
      </c>
      <c r="N13" s="465">
        <f>+N9-N10-N11-N12</f>
        <v>-5582409.9023999944</v>
      </c>
      <c r="O13" s="462"/>
    </row>
    <row r="16" spans="1:15" x14ac:dyDescent="0.25">
      <c r="A16" s="466" t="s">
        <v>263</v>
      </c>
      <c r="B16" s="456" t="s">
        <v>241</v>
      </c>
      <c r="C16" s="456" t="s">
        <v>242</v>
      </c>
      <c r="D16" s="456" t="s">
        <v>243</v>
      </c>
      <c r="E16" s="456" t="s">
        <v>244</v>
      </c>
      <c r="F16" s="456" t="s">
        <v>245</v>
      </c>
      <c r="G16" s="456" t="s">
        <v>246</v>
      </c>
      <c r="H16" s="456" t="s">
        <v>247</v>
      </c>
      <c r="I16" s="456" t="s">
        <v>248</v>
      </c>
      <c r="J16" s="456" t="s">
        <v>249</v>
      </c>
      <c r="K16" s="456" t="s">
        <v>250</v>
      </c>
      <c r="L16" s="456" t="s">
        <v>251</v>
      </c>
      <c r="M16" s="456" t="s">
        <v>252</v>
      </c>
    </row>
    <row r="17" spans="1:14" x14ac:dyDescent="0.25">
      <c r="A17" s="457" t="s">
        <v>259</v>
      </c>
      <c r="B17" s="458"/>
      <c r="C17" s="458"/>
      <c r="D17" s="458">
        <f>+'B) Reajuste Tarifas y Ocupación'!$I$28</f>
        <v>10</v>
      </c>
      <c r="E17" s="458">
        <f>+'B) Reajuste Tarifas y Ocupación'!$I$28</f>
        <v>10</v>
      </c>
      <c r="F17" s="458">
        <f>+'B) Reajuste Tarifas y Ocupación'!$I$28</f>
        <v>10</v>
      </c>
      <c r="G17" s="458">
        <f>+'B) Reajuste Tarifas y Ocupación'!$I$28</f>
        <v>10</v>
      </c>
      <c r="H17" s="458">
        <f>+'B) Reajuste Tarifas y Ocupación'!$I$28</f>
        <v>10</v>
      </c>
      <c r="I17" s="458">
        <f>+'B) Reajuste Tarifas y Ocupación'!$I$28</f>
        <v>10</v>
      </c>
      <c r="J17" s="458">
        <f>+'B) Reajuste Tarifas y Ocupación'!$I$28</f>
        <v>10</v>
      </c>
      <c r="K17" s="458">
        <f>+'B) Reajuste Tarifas y Ocupación'!$I$28</f>
        <v>10</v>
      </c>
      <c r="L17" s="458">
        <f>+'B) Reajuste Tarifas y Ocupación'!$I$28</f>
        <v>10</v>
      </c>
      <c r="M17" s="458">
        <f>+'B) Reajuste Tarifas y Ocupación'!$I$28</f>
        <v>10</v>
      </c>
    </row>
    <row r="18" spans="1:14" x14ac:dyDescent="0.25">
      <c r="A18" s="457" t="s">
        <v>260</v>
      </c>
      <c r="B18" s="458">
        <f>+COUNTA('F) Remuneraciones'!$C$17:$C$29)</f>
        <v>9</v>
      </c>
      <c r="C18" s="458">
        <f>+COUNTA('F) Remuneraciones'!$C$17:$C$29)</f>
        <v>9</v>
      </c>
      <c r="D18" s="458">
        <f>+COUNTA('F) Remuneraciones'!$C$17:$C$29)</f>
        <v>9</v>
      </c>
      <c r="E18" s="458">
        <f>+COUNTA('F) Remuneraciones'!$C$17:$C$29)</f>
        <v>9</v>
      </c>
      <c r="F18" s="458">
        <f>+COUNTA('F) Remuneraciones'!$C$17:$C$29)</f>
        <v>9</v>
      </c>
      <c r="G18" s="458">
        <f>+COUNTA('F) Remuneraciones'!$C$17:$C$29)</f>
        <v>9</v>
      </c>
      <c r="H18" s="458">
        <f>+COUNTA('F) Remuneraciones'!$C$17:$C$29)</f>
        <v>9</v>
      </c>
      <c r="I18" s="458">
        <f>+COUNTA('F) Remuneraciones'!$C$17:$C$29)</f>
        <v>9</v>
      </c>
      <c r="J18" s="458">
        <f>+COUNTA('F) Remuneraciones'!$C$17:$C$29)</f>
        <v>9</v>
      </c>
      <c r="K18" s="458">
        <f>+COUNTA('F) Remuneraciones'!$C$17:$C$29)</f>
        <v>9</v>
      </c>
      <c r="L18" s="458">
        <f>+COUNTA('F) Remuneraciones'!$C$17:$C$29)</f>
        <v>9</v>
      </c>
      <c r="M18" s="458">
        <f>+COUNTA('F) Remuneraciones'!$C$17:$C$29)</f>
        <v>9</v>
      </c>
    </row>
    <row r="19" spans="1:14" x14ac:dyDescent="0.25">
      <c r="A19" s="457"/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</row>
    <row r="20" spans="1:14" ht="30" x14ac:dyDescent="0.25">
      <c r="A20" s="460" t="str">
        <f>+'A) Resumen Ingresos y Egresos'!A31</f>
        <v>Sala Cuna Olitas de Mar</v>
      </c>
      <c r="B20" s="456" t="s">
        <v>241</v>
      </c>
      <c r="C20" s="456" t="s">
        <v>242</v>
      </c>
      <c r="D20" s="456" t="s">
        <v>243</v>
      </c>
      <c r="E20" s="456" t="s">
        <v>244</v>
      </c>
      <c r="F20" s="456" t="s">
        <v>245</v>
      </c>
      <c r="G20" s="456" t="s">
        <v>246</v>
      </c>
      <c r="H20" s="456" t="s">
        <v>247</v>
      </c>
      <c r="I20" s="456" t="s">
        <v>248</v>
      </c>
      <c r="J20" s="456" t="s">
        <v>249</v>
      </c>
      <c r="K20" s="456" t="s">
        <v>250</v>
      </c>
      <c r="L20" s="456" t="s">
        <v>251</v>
      </c>
      <c r="M20" s="456" t="s">
        <v>252</v>
      </c>
      <c r="N20" s="456" t="s">
        <v>261</v>
      </c>
    </row>
    <row r="21" spans="1:14" x14ac:dyDescent="0.25">
      <c r="A21" s="461" t="s">
        <v>253</v>
      </c>
      <c r="B21" s="462">
        <f>+'A) Resumen Ingresos y Egresos'!$O$40/12+'A) Resumen Ingresos y Egresos'!$N$40/12</f>
        <v>3277000</v>
      </c>
      <c r="C21" s="462">
        <f>+'A) Resumen Ingresos y Egresos'!$O$40/12+'A) Resumen Ingresos y Egresos'!$N$40/12</f>
        <v>3277000</v>
      </c>
      <c r="D21" s="462">
        <f>+'A) Resumen Ingresos y Egresos'!$O$40/12+'A) Resumen Ingresos y Egresos'!$N$40/12</f>
        <v>3277000</v>
      </c>
      <c r="E21" s="462">
        <f>+'A) Resumen Ingresos y Egresos'!$O$40/12+'A) Resumen Ingresos y Egresos'!$N$40/12</f>
        <v>3277000</v>
      </c>
      <c r="F21" s="462">
        <f>+'A) Resumen Ingresos y Egresos'!$O$40/12+'A) Resumen Ingresos y Egresos'!$N$40/12</f>
        <v>3277000</v>
      </c>
      <c r="G21" s="462">
        <f>+'A) Resumen Ingresos y Egresos'!$O$40/12+'A) Resumen Ingresos y Egresos'!$N$40/12</f>
        <v>3277000</v>
      </c>
      <c r="H21" s="462">
        <f>+'A) Resumen Ingresos y Egresos'!$O$40/12+'A) Resumen Ingresos y Egresos'!$N$40/12</f>
        <v>3277000</v>
      </c>
      <c r="I21" s="462">
        <f>+'A) Resumen Ingresos y Egresos'!$O$40/12+'A) Resumen Ingresos y Egresos'!$N$40/12</f>
        <v>3277000</v>
      </c>
      <c r="J21" s="462">
        <f>+'A) Resumen Ingresos y Egresos'!$O$40/12+'A) Resumen Ingresos y Egresos'!$N$40/12</f>
        <v>3277000</v>
      </c>
      <c r="K21" s="462">
        <f>+'A) Resumen Ingresos y Egresos'!$O$40/12+'A) Resumen Ingresos y Egresos'!$N$40/12</f>
        <v>3277000</v>
      </c>
      <c r="L21" s="462">
        <f>+'A) Resumen Ingresos y Egresos'!$O$40/12+'A) Resumen Ingresos y Egresos'!$N$40/12</f>
        <v>3277000</v>
      </c>
      <c r="M21" s="462">
        <f>+'A) Resumen Ingresos y Egresos'!$O$40/12+'A) Resumen Ingresos y Egresos'!$N$40/12</f>
        <v>3277000</v>
      </c>
      <c r="N21" s="463">
        <f>SUM(B21:M21)</f>
        <v>39324000</v>
      </c>
    </row>
    <row r="22" spans="1:14" x14ac:dyDescent="0.25">
      <c r="A22" s="461" t="s">
        <v>254</v>
      </c>
      <c r="B22" s="462">
        <f>SUM('F) Remuneraciones'!$H$17:$H$29)/12</f>
        <v>2249751.2855498665</v>
      </c>
      <c r="C22" s="462">
        <f>SUM('F) Remuneraciones'!$H$17:$H$29)/12</f>
        <v>2249751.2855498665</v>
      </c>
      <c r="D22" s="462">
        <f>SUM('F) Remuneraciones'!$H$17:$H$29)/12</f>
        <v>2249751.2855498665</v>
      </c>
      <c r="E22" s="462">
        <f>SUM('F) Remuneraciones'!$H$17:$H$29)/12</f>
        <v>2249751.2855498665</v>
      </c>
      <c r="F22" s="462">
        <f>SUM('F) Remuneraciones'!$H$17:$H$29)/12</f>
        <v>2249751.2855498665</v>
      </c>
      <c r="G22" s="462">
        <f>SUM('F) Remuneraciones'!$H$17:$H$29)/12</f>
        <v>2249751.2855498665</v>
      </c>
      <c r="H22" s="462">
        <f>SUM('F) Remuneraciones'!$H$17:$H$29)/12</f>
        <v>2249751.2855498665</v>
      </c>
      <c r="I22" s="462">
        <f>SUM('F) Remuneraciones'!$H$17:$H$29)/12</f>
        <v>2249751.2855498665</v>
      </c>
      <c r="J22" s="462">
        <f>SUM('F) Remuneraciones'!$H$17:$H$29)/12</f>
        <v>2249751.2855498665</v>
      </c>
      <c r="K22" s="462">
        <f>SUM('F) Remuneraciones'!$H$17:$H$29)/12</f>
        <v>2249751.2855498665</v>
      </c>
      <c r="L22" s="462">
        <f>SUM('F) Remuneraciones'!$H$17:$H$29)/12</f>
        <v>2249751.2855498665</v>
      </c>
      <c r="M22" s="462">
        <f>SUM('F) Remuneraciones'!$H$17:$H$29)/12</f>
        <v>2249751.2855498665</v>
      </c>
      <c r="N22" s="463">
        <f t="shared" ref="N22:N24" si="2">SUM(B22:M22)</f>
        <v>26997015.426598404</v>
      </c>
    </row>
    <row r="23" spans="1:14" x14ac:dyDescent="0.25">
      <c r="A23" s="461" t="s">
        <v>256</v>
      </c>
      <c r="B23" s="462">
        <f>SUM('F) Remuneraciones'!I17:I29)*0.5</f>
        <v>580000</v>
      </c>
      <c r="C23" s="462">
        <v>0</v>
      </c>
      <c r="D23" s="462">
        <v>0</v>
      </c>
      <c r="E23" s="462">
        <v>0</v>
      </c>
      <c r="F23" s="462">
        <v>0</v>
      </c>
      <c r="G23" s="462">
        <v>0</v>
      </c>
      <c r="H23" s="462">
        <v>0</v>
      </c>
      <c r="I23" s="462">
        <v>0</v>
      </c>
      <c r="J23" s="462">
        <f>SUM('F) Remuneraciones'!J17:J29)*0.5</f>
        <v>63582</v>
      </c>
      <c r="K23" s="462">
        <v>0</v>
      </c>
      <c r="L23" s="462">
        <v>0</v>
      </c>
      <c r="M23" s="462">
        <f>+B23+J23</f>
        <v>643582</v>
      </c>
      <c r="N23" s="463">
        <f t="shared" si="2"/>
        <v>1287164</v>
      </c>
    </row>
    <row r="24" spans="1:14" x14ac:dyDescent="0.25">
      <c r="A24" s="461" t="s">
        <v>255</v>
      </c>
      <c r="B24" s="462">
        <f>(+'C) Costos Directos'!$H$139-'C) Costos Directos'!$D$78)/12</f>
        <v>575884.23333333305</v>
      </c>
      <c r="C24" s="462">
        <f>(+'C) Costos Directos'!$H$139-'C) Costos Directos'!$D$78)/12</f>
        <v>575884.23333333305</v>
      </c>
      <c r="D24" s="462">
        <f>(+'C) Costos Directos'!$H$139-'C) Costos Directos'!$D$78)/12</f>
        <v>575884.23333333305</v>
      </c>
      <c r="E24" s="462">
        <f>(+'C) Costos Directos'!$H$139-'C) Costos Directos'!$D$78)/12</f>
        <v>575884.23333333305</v>
      </c>
      <c r="F24" s="462">
        <f>(+'C) Costos Directos'!$H$139-'C) Costos Directos'!$D$78)/12</f>
        <v>575884.23333333305</v>
      </c>
      <c r="G24" s="462">
        <f>(+'C) Costos Directos'!$H$139-'C) Costos Directos'!$D$78)/12</f>
        <v>575884.23333333305</v>
      </c>
      <c r="H24" s="462">
        <f>(+'C) Costos Directos'!$H$139-'C) Costos Directos'!$D$78)/12</f>
        <v>575884.23333333305</v>
      </c>
      <c r="I24" s="462">
        <f>(+'C) Costos Directos'!$H$139-'C) Costos Directos'!$D$78)/12</f>
        <v>575884.23333333305</v>
      </c>
      <c r="J24" s="462">
        <f>(+'C) Costos Directos'!$H$139-'C) Costos Directos'!$D$78)/12</f>
        <v>575884.23333333305</v>
      </c>
      <c r="K24" s="462">
        <f>(+'C) Costos Directos'!$H$139-'C) Costos Directos'!$D$78)/12</f>
        <v>575884.23333333305</v>
      </c>
      <c r="L24" s="462">
        <f>(+'C) Costos Directos'!$H$139-'C) Costos Directos'!$D$78)/12</f>
        <v>575884.23333333305</v>
      </c>
      <c r="M24" s="462">
        <f>(+'C) Costos Directos'!$H$139-'C) Costos Directos'!$D$78)/12</f>
        <v>575884.23333333305</v>
      </c>
      <c r="N24" s="463">
        <f t="shared" si="2"/>
        <v>6910610.799999998</v>
      </c>
    </row>
    <row r="25" spans="1:14" x14ac:dyDescent="0.25">
      <c r="A25" s="464" t="s">
        <v>262</v>
      </c>
      <c r="B25" s="465">
        <f t="shared" ref="B25:M25" si="3">+B21-B22-B23-B24</f>
        <v>-128635.51888319955</v>
      </c>
      <c r="C25" s="465">
        <f t="shared" si="3"/>
        <v>451364.48111680045</v>
      </c>
      <c r="D25" s="465">
        <f t="shared" si="3"/>
        <v>451364.48111680045</v>
      </c>
      <c r="E25" s="465">
        <f t="shared" si="3"/>
        <v>451364.48111680045</v>
      </c>
      <c r="F25" s="465">
        <f t="shared" si="3"/>
        <v>451364.48111680045</v>
      </c>
      <c r="G25" s="465">
        <f t="shared" si="3"/>
        <v>451364.48111680045</v>
      </c>
      <c r="H25" s="465">
        <f t="shared" si="3"/>
        <v>451364.48111680045</v>
      </c>
      <c r="I25" s="465">
        <f t="shared" si="3"/>
        <v>451364.48111680045</v>
      </c>
      <c r="J25" s="465">
        <f t="shared" si="3"/>
        <v>387782.48111680045</v>
      </c>
      <c r="K25" s="465">
        <f t="shared" si="3"/>
        <v>451364.48111680045</v>
      </c>
      <c r="L25" s="465">
        <f t="shared" si="3"/>
        <v>451364.48111680045</v>
      </c>
      <c r="M25" s="465">
        <f t="shared" si="3"/>
        <v>-192217.51888319955</v>
      </c>
      <c r="N25" s="465">
        <f>+N21-N22-N23-N24</f>
        <v>4129209.7734015984</v>
      </c>
    </row>
  </sheetData>
  <sheetProtection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Hoja1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2021-09-08T14:29:00Z</cp:lastPrinted>
  <dcterms:created xsi:type="dcterms:W3CDTF">2017-05-11T00:45:10Z</dcterms:created>
  <dcterms:modified xsi:type="dcterms:W3CDTF">2022-04-01T19:08:51Z</dcterms:modified>
</cp:coreProperties>
</file>